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a">Sheet1!$F$4</definedName>
    <definedName name="a_1">Sheet1!$E$11</definedName>
    <definedName name="a_2">Sheet1!$F$11</definedName>
    <definedName name="a_3">Sheet1!$G$11</definedName>
    <definedName name="alpha">Sheet1!$D$72</definedName>
    <definedName name="b">Sheet1!$C$5</definedName>
    <definedName name="b_1">Sheet1!$J$6</definedName>
    <definedName name="b_2">Sheet1!$J$7</definedName>
    <definedName name="b_3">Sheet1!$J$8</definedName>
    <definedName name="mean_y">Sheet1!$I$10</definedName>
    <definedName name="msa">Sheet1!$D$34</definedName>
    <definedName name="msb">Sheet1!$D$35</definedName>
    <definedName name="mse">Sheet1!$D$33</definedName>
    <definedName name="n">Sheet1!$B$3</definedName>
    <definedName name="sa">Sheet1!$D$68</definedName>
    <definedName name="sb">Sheet1!$D$69</definedName>
    <definedName name="se">Sheet1!$D$66</definedName>
    <definedName name="sm">Sheet1!$D$67</definedName>
    <definedName name="ss0">Sheet1!$C$21</definedName>
    <definedName name="ssa">Sheet1!$C$22</definedName>
    <definedName name="ssb">Sheet1!$C$23</definedName>
    <definedName name="sse">Sheet1!$C$20</definedName>
    <definedName name="sst">Sheet1!$C$25</definedName>
    <definedName name="ssy">Sheet1!$C$24</definedName>
    <definedName name="t_975_3">Sheet1!$C$101</definedName>
    <definedName name="t_975_4">Sheet1!$D$74</definedName>
  </definedNames>
  <calcPr calcId="152511"/>
</workbook>
</file>

<file path=xl/calcChain.xml><?xml version="1.0" encoding="utf-8"?>
<calcChain xmlns="http://schemas.openxmlformats.org/spreadsheetml/2006/main">
  <c r="H6" i="1" l="1"/>
  <c r="C110" i="1"/>
  <c r="C111" i="1"/>
  <c r="B111" i="1"/>
  <c r="B113" i="1" s="1"/>
  <c r="F110" i="1" s="1"/>
  <c r="B110" i="1"/>
  <c r="D110" i="1" s="1"/>
  <c r="C99" i="1"/>
  <c r="C92" i="1"/>
  <c r="C93" i="1"/>
  <c r="C91" i="1"/>
  <c r="C94" i="1" s="1"/>
  <c r="B114" i="1" l="1"/>
  <c r="E110" i="1"/>
  <c r="C95" i="1"/>
  <c r="C96" i="1" s="1"/>
  <c r="C103" i="1" s="1"/>
  <c r="D72" i="1"/>
  <c r="D73" i="1" l="1"/>
  <c r="C100" i="1"/>
  <c r="B103" i="1"/>
  <c r="O7" i="1"/>
  <c r="P7" i="1"/>
  <c r="Q7" i="1"/>
  <c r="O8" i="1"/>
  <c r="P8" i="1"/>
  <c r="Q8" i="1"/>
  <c r="P6" i="1"/>
  <c r="Q6" i="1"/>
  <c r="O6" i="1"/>
  <c r="B3" i="1"/>
  <c r="B58" i="1" s="1"/>
  <c r="C58" i="1" s="1"/>
  <c r="F9" i="1"/>
  <c r="F10" i="1" s="1"/>
  <c r="G9" i="1"/>
  <c r="G10" i="1" s="1"/>
  <c r="E9" i="1"/>
  <c r="H9" i="1" s="1"/>
  <c r="H7" i="1"/>
  <c r="I7" i="1" s="1"/>
  <c r="H8" i="1"/>
  <c r="I8" i="1" s="1"/>
  <c r="I6" i="1"/>
  <c r="I10" i="1" l="1"/>
  <c r="C24" i="1"/>
  <c r="E10" i="1"/>
  <c r="E11" i="1" s="1"/>
  <c r="B56" i="1"/>
  <c r="C56" i="1" s="1"/>
  <c r="B63" i="1"/>
  <c r="C63" i="1" s="1"/>
  <c r="B61" i="1"/>
  <c r="C61" i="1" s="1"/>
  <c r="B59" i="1"/>
  <c r="C59" i="1" s="1"/>
  <c r="B57" i="1"/>
  <c r="C57" i="1" s="1"/>
  <c r="B64" i="1"/>
  <c r="C64" i="1" s="1"/>
  <c r="B62" i="1"/>
  <c r="C62" i="1" s="1"/>
  <c r="B60" i="1"/>
  <c r="C60" i="1" s="1"/>
  <c r="C21" i="1" l="1"/>
  <c r="C25" i="1" s="1"/>
  <c r="C77" i="1"/>
  <c r="G11" i="1"/>
  <c r="C80" i="1" s="1"/>
  <c r="C78" i="1"/>
  <c r="J6" i="1"/>
  <c r="C81" i="1" s="1"/>
  <c r="F11" i="1"/>
  <c r="M6" i="1" s="1"/>
  <c r="J7" i="1"/>
  <c r="C82" i="1" s="1"/>
  <c r="J8" i="1"/>
  <c r="C83" i="1" s="1"/>
  <c r="N6" i="1" l="1"/>
  <c r="L6" i="1"/>
  <c r="R6" i="1" s="1"/>
  <c r="L7" i="1"/>
  <c r="R7" i="1" s="1"/>
  <c r="U7" i="1" s="1"/>
  <c r="M7" i="1"/>
  <c r="S7" i="1" s="1"/>
  <c r="V7" i="1" s="1"/>
  <c r="C79" i="1"/>
  <c r="B86" i="1" s="1"/>
  <c r="K8" i="1"/>
  <c r="E12" i="1"/>
  <c r="L8" i="1"/>
  <c r="R8" i="1" s="1"/>
  <c r="U8" i="1" s="1"/>
  <c r="K7" i="1"/>
  <c r="S6" i="1"/>
  <c r="V6" i="1" s="1"/>
  <c r="K6" i="1"/>
  <c r="C23" i="1" s="1"/>
  <c r="N8" i="1"/>
  <c r="T8" i="1" s="1"/>
  <c r="W8" i="1" s="1"/>
  <c r="G12" i="1"/>
  <c r="F12" i="1"/>
  <c r="M8" i="1"/>
  <c r="S8" i="1" s="1"/>
  <c r="V8" i="1" s="1"/>
  <c r="U6" i="1"/>
  <c r="T6" i="1"/>
  <c r="W6" i="1" s="1"/>
  <c r="N7" i="1"/>
  <c r="T7" i="1" s="1"/>
  <c r="W7" i="1" s="1"/>
  <c r="C22" i="1" l="1"/>
  <c r="C20" i="1"/>
  <c r="B28" i="1"/>
  <c r="B29" i="1"/>
  <c r="D34" i="1" l="1"/>
  <c r="D35" i="1"/>
  <c r="B30" i="1"/>
  <c r="D33" i="1"/>
  <c r="D66" i="1" s="1"/>
  <c r="C87" i="1" s="1"/>
  <c r="C86" i="1" s="1"/>
  <c r="D86" i="1" l="1"/>
  <c r="D36" i="1"/>
  <c r="D68" i="1"/>
  <c r="D69" i="1"/>
  <c r="D67" i="1"/>
  <c r="D37" i="1"/>
  <c r="D77" i="1" l="1"/>
  <c r="F77" i="1"/>
  <c r="E77" i="1"/>
  <c r="D79" i="1"/>
  <c r="D78" i="1"/>
  <c r="D80" i="1"/>
  <c r="D83" i="1"/>
  <c r="D82" i="1"/>
  <c r="D81" i="1"/>
  <c r="E83" i="1"/>
  <c r="F83" i="1"/>
  <c r="E82" i="1"/>
  <c r="F81" i="1"/>
  <c r="F82" i="1"/>
  <c r="E81" i="1"/>
  <c r="E79" i="1"/>
  <c r="E78" i="1"/>
  <c r="F78" i="1"/>
  <c r="E80" i="1"/>
  <c r="F79" i="1"/>
  <c r="F80" i="1"/>
</calcChain>
</file>

<file path=xl/sharedStrings.xml><?xml version="1.0" encoding="utf-8"?>
<sst xmlns="http://schemas.openxmlformats.org/spreadsheetml/2006/main" count="130" uniqueCount="101">
  <si>
    <r>
      <t>y</t>
    </r>
    <r>
      <rPr>
        <vertAlign val="subscript"/>
        <sz val="11"/>
        <color theme="1"/>
        <rFont val="Calibri"/>
        <family val="2"/>
        <scheme val="minor"/>
      </rPr>
      <t>ij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Arial"/>
        <family val="2"/>
      </rPr>
      <t xml:space="preserve">µ + </t>
    </r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+ </t>
    </r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 xml:space="preserve"> + </t>
    </r>
    <r>
      <rPr>
        <sz val="11"/>
        <color theme="1"/>
        <rFont val="Arial"/>
        <family val="2"/>
      </rPr>
      <t>e</t>
    </r>
    <r>
      <rPr>
        <vertAlign val="subscript"/>
        <sz val="11"/>
        <color theme="1"/>
        <rFont val="Arial"/>
        <family val="2"/>
      </rPr>
      <t>ij</t>
    </r>
  </si>
  <si>
    <t>library</t>
  </si>
  <si>
    <t>VFS</t>
  </si>
  <si>
    <t>layers</t>
  </si>
  <si>
    <t>compile benchmark</t>
  </si>
  <si>
    <t>email benchmark</t>
  </si>
  <si>
    <t>web server benchmark</t>
  </si>
  <si>
    <t>a</t>
  </si>
  <si>
    <t>b</t>
  </si>
  <si>
    <t>sum(row)</t>
  </si>
  <si>
    <t>mean(row)</t>
  </si>
  <si>
    <t>sum(column)</t>
  </si>
  <si>
    <t>mean(column)</t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</si>
  <si>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/>
    </r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</si>
  <si>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i</t>
    </r>
  </si>
  <si>
    <t>n</t>
  </si>
  <si>
    <r>
      <t>ŷ</t>
    </r>
    <r>
      <rPr>
        <vertAlign val="subscript"/>
        <sz val="11"/>
        <color theme="1"/>
        <rFont val="Calibri"/>
        <family val="2"/>
      </rPr>
      <t>i1</t>
    </r>
  </si>
  <si>
    <r>
      <t>ssa = b*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</rPr>
      <t>j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</t>
    </r>
  </si>
  <si>
    <r>
      <t>ssb = a*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i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=</t>
    </r>
  </si>
  <si>
    <r>
      <t>ss0 = ab</t>
    </r>
    <r>
      <rPr>
        <sz val="11"/>
        <color theme="1"/>
        <rFont val="Arial"/>
        <family val="2"/>
      </rPr>
      <t>µ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</t>
    </r>
  </si>
  <si>
    <r>
      <t>α</t>
    </r>
    <r>
      <rPr>
        <vertAlign val="subscript"/>
        <sz val="11"/>
        <color theme="1"/>
        <rFont val="Arial"/>
        <family val="2"/>
      </rPr>
      <t>j</t>
    </r>
    <r>
      <rPr>
        <vertAlign val="superscript"/>
        <sz val="11"/>
        <color theme="1"/>
        <rFont val="Arial"/>
        <family val="2"/>
      </rPr>
      <t>2</t>
    </r>
  </si>
  <si>
    <r>
      <t>β</t>
    </r>
    <r>
      <rPr>
        <vertAlign val="subscript"/>
        <sz val="11"/>
        <color theme="1"/>
        <rFont val="Calibri"/>
        <family val="2"/>
      </rPr>
      <t>i</t>
    </r>
    <r>
      <rPr>
        <vertAlign val="superscript"/>
        <sz val="11"/>
        <color theme="1"/>
        <rFont val="Calibri"/>
        <family val="2"/>
      </rPr>
      <t>2</t>
    </r>
  </si>
  <si>
    <r>
      <t>y</t>
    </r>
    <r>
      <rPr>
        <vertAlign val="subscript"/>
        <sz val="11"/>
        <color theme="1"/>
        <rFont val="Calibri"/>
        <family val="2"/>
      </rPr>
      <t>i1</t>
    </r>
    <r>
      <rPr>
        <vertAlign val="superscript"/>
        <sz val="11"/>
        <color theme="1"/>
        <rFont val="Calibri"/>
        <family val="2"/>
      </rPr>
      <t>2</t>
    </r>
  </si>
  <si>
    <r>
      <t>y</t>
    </r>
    <r>
      <rPr>
        <vertAlign val="subscript"/>
        <sz val="11"/>
        <color theme="1"/>
        <rFont val="Calibri"/>
        <family val="2"/>
      </rPr>
      <t>i2</t>
    </r>
    <r>
      <rPr>
        <vertAlign val="superscript"/>
        <sz val="11"/>
        <color theme="1"/>
        <rFont val="Calibri"/>
        <family val="2"/>
      </rPr>
      <t>2</t>
    </r>
  </si>
  <si>
    <r>
      <t>y</t>
    </r>
    <r>
      <rPr>
        <vertAlign val="subscript"/>
        <sz val="11"/>
        <color theme="1"/>
        <rFont val="Calibri"/>
        <family val="2"/>
      </rPr>
      <t>i3</t>
    </r>
    <r>
      <rPr>
        <vertAlign val="superscript"/>
        <sz val="11"/>
        <color theme="1"/>
        <rFont val="Calibri"/>
        <family val="2"/>
      </rPr>
      <t>2</t>
    </r>
  </si>
  <si>
    <t>sst = ssy - ss0 =</t>
  </si>
  <si>
    <t>percentage variation</t>
  </si>
  <si>
    <r>
      <t>e</t>
    </r>
    <r>
      <rPr>
        <vertAlign val="subscript"/>
        <sz val="11"/>
        <color theme="1"/>
        <rFont val="Calibri"/>
        <family val="2"/>
      </rPr>
      <t>i1</t>
    </r>
  </si>
  <si>
    <r>
      <t>e</t>
    </r>
    <r>
      <rPr>
        <vertAlign val="subscript"/>
        <sz val="11"/>
        <color theme="1"/>
        <rFont val="Calibri"/>
        <family val="2"/>
      </rPr>
      <t>i2</t>
    </r>
    <r>
      <rPr>
        <sz val="11"/>
        <color theme="1"/>
        <rFont val="Calibri"/>
        <family val="2"/>
        <scheme val="minor"/>
      </rPr>
      <t/>
    </r>
  </si>
  <si>
    <r>
      <t>e</t>
    </r>
    <r>
      <rPr>
        <vertAlign val="subscript"/>
        <sz val="11"/>
        <color theme="1"/>
        <rFont val="Calibri"/>
        <family val="2"/>
      </rPr>
      <t>i3</t>
    </r>
    <r>
      <rPr>
        <sz val="11"/>
        <color theme="1"/>
        <rFont val="Calibri"/>
        <family val="2"/>
        <scheme val="minor"/>
      </rPr>
      <t/>
    </r>
  </si>
  <si>
    <r>
      <t>e</t>
    </r>
    <r>
      <rPr>
        <vertAlign val="subscript"/>
        <sz val="11"/>
        <color theme="1"/>
        <rFont val="Calibri"/>
        <family val="2"/>
      </rPr>
      <t>i1</t>
    </r>
    <r>
      <rPr>
        <vertAlign val="superscript"/>
        <sz val="11"/>
        <color theme="1"/>
        <rFont val="Calibri"/>
        <family val="2"/>
      </rPr>
      <t>2</t>
    </r>
  </si>
  <si>
    <r>
      <t>e</t>
    </r>
    <r>
      <rPr>
        <vertAlign val="subscript"/>
        <sz val="11"/>
        <color theme="1"/>
        <rFont val="Calibri"/>
        <family val="2"/>
      </rPr>
      <t>i2</t>
    </r>
    <r>
      <rPr>
        <vertAlign val="superscript"/>
        <sz val="11"/>
        <color theme="1"/>
        <rFont val="Calibri"/>
        <family val="2"/>
      </rPr>
      <t>2</t>
    </r>
  </si>
  <si>
    <r>
      <t>e</t>
    </r>
    <r>
      <rPr>
        <vertAlign val="subscript"/>
        <sz val="11"/>
        <color theme="1"/>
        <rFont val="Calibri"/>
        <family val="2"/>
      </rPr>
      <t>i3</t>
    </r>
    <r>
      <rPr>
        <vertAlign val="superscript"/>
        <sz val="11"/>
        <color theme="1"/>
        <rFont val="Calibri"/>
        <family val="2"/>
      </rPr>
      <t>2</t>
    </r>
  </si>
  <si>
    <t>sse =</t>
  </si>
  <si>
    <t>A = ssa/sst</t>
  </si>
  <si>
    <t>B = ssb/sst</t>
  </si>
  <si>
    <t>errors = sse/sst</t>
  </si>
  <si>
    <t>confidence interval</t>
  </si>
  <si>
    <t>alpha</t>
  </si>
  <si>
    <t>p</t>
  </si>
  <si>
    <t>mse = sse/[(a-1)(b-1)] =</t>
  </si>
  <si>
    <t xml:space="preserve">msa = ssa/(a - 1) = </t>
  </si>
  <si>
    <t xml:space="preserve">msb = ssb/(b - 1) = </t>
  </si>
  <si>
    <t>msa/mse =</t>
  </si>
  <si>
    <t xml:space="preserve">msb/mse = </t>
  </si>
  <si>
    <t>F-test</t>
  </si>
  <si>
    <t>F[.95, a - 1, (a-1)(b-1)] for A = F[.95, 2, 4] =</t>
  </si>
  <si>
    <t>F[.95, b - 1, (a-1)(b-1)] for B = F[.95, 2, 4] =</t>
  </si>
  <si>
    <t>table A.7</t>
  </si>
  <si>
    <t>&lt; 6.94</t>
  </si>
  <si>
    <t>not significant</t>
  </si>
  <si>
    <t>&gt; 6.94</t>
  </si>
  <si>
    <t>significant</t>
  </si>
  <si>
    <t>poor experimental design</t>
  </si>
  <si>
    <t>ŷ</t>
  </si>
  <si>
    <t>e</t>
  </si>
  <si>
    <t>i</t>
  </si>
  <si>
    <t>qi</t>
  </si>
  <si>
    <t>xi</t>
  </si>
  <si>
    <t>ei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</si>
  <si>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sqrt(mse) =</t>
    </r>
  </si>
  <si>
    <r>
      <t>s</t>
    </r>
    <r>
      <rPr>
        <vertAlign val="subscript"/>
        <sz val="11"/>
        <color theme="1"/>
        <rFont val="Arial"/>
        <family val="2"/>
      </rPr>
      <t>µ</t>
    </r>
    <r>
      <rPr>
        <sz val="11"/>
        <color theme="1"/>
        <rFont val="Calibri"/>
        <family val="2"/>
      </rPr>
      <t xml:space="preserve"> =s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/sqrt(ab) =</t>
    </r>
  </si>
  <si>
    <r>
      <t>s</t>
    </r>
    <r>
      <rPr>
        <vertAlign val="subscript"/>
        <sz val="11"/>
        <color theme="1"/>
        <rFont val="Calibri"/>
        <family val="2"/>
      </rPr>
      <t>αj</t>
    </r>
    <r>
      <rPr>
        <sz val="11"/>
        <color theme="1"/>
        <rFont val="Calibri"/>
        <family val="2"/>
      </rPr>
      <t xml:space="preserve"> = s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*sqrt((a-1)/ab) =</t>
    </r>
  </si>
  <si>
    <r>
      <t>s</t>
    </r>
    <r>
      <rPr>
        <vertAlign val="subscript"/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</rPr>
      <t xml:space="preserve"> = s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*sqrt((b-1)/ab) =</t>
    </r>
  </si>
  <si>
    <r>
      <t>α</t>
    </r>
    <r>
      <rPr>
        <vertAlign val="subscript"/>
        <sz val="11"/>
        <color theme="1"/>
        <rFont val="Arial"/>
        <family val="2"/>
      </rPr>
      <t>1</t>
    </r>
  </si>
  <si>
    <r>
      <t>α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</si>
  <si>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α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</si>
  <si>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t[.975, (a-1)(b-1)] = t[.975,4] =</t>
  </si>
  <si>
    <r>
      <t>β</t>
    </r>
    <r>
      <rPr>
        <vertAlign val="subscript"/>
        <sz val="11"/>
        <color theme="1"/>
        <rFont val="Calibri"/>
        <family val="2"/>
      </rPr>
      <t>1</t>
    </r>
  </si>
  <si>
    <r>
      <t>β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</si>
  <si>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β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</si>
  <si>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t>min</t>
  </si>
  <si>
    <t>max</t>
  </si>
  <si>
    <t>vfs</t>
  </si>
  <si>
    <t>layered</t>
  </si>
  <si>
    <t>email</t>
  </si>
  <si>
    <t>web server</t>
  </si>
  <si>
    <t>µ</t>
  </si>
  <si>
    <t>standard deviation</t>
  </si>
  <si>
    <t>mean</t>
  </si>
  <si>
    <t>VFS - layers</t>
  </si>
  <si>
    <t>stdev</t>
  </si>
  <si>
    <t>variance</t>
  </si>
  <si>
    <t>t[.975,3]</t>
  </si>
  <si>
    <t>t test</t>
  </si>
  <si>
    <r>
      <t>α2</t>
    </r>
    <r>
      <rPr>
        <vertAlign val="subscript"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- α3</t>
    </r>
  </si>
  <si>
    <t>subtraction test</t>
  </si>
  <si>
    <t>se</t>
  </si>
  <si>
    <t>v</t>
  </si>
  <si>
    <t>diff</t>
  </si>
  <si>
    <t xml:space="preserve">t[.975, 20] </t>
  </si>
  <si>
    <r>
      <t>ŷ</t>
    </r>
    <r>
      <rPr>
        <vertAlign val="subscript"/>
        <sz val="11"/>
        <color theme="1"/>
        <rFont val="Calibri"/>
        <family val="2"/>
      </rPr>
      <t>i2</t>
    </r>
    <r>
      <rPr>
        <sz val="11"/>
        <color theme="1"/>
        <rFont val="Calibri"/>
        <family val="2"/>
        <scheme val="minor"/>
      </rPr>
      <t/>
    </r>
  </si>
  <si>
    <r>
      <t>ŷ</t>
    </r>
    <r>
      <rPr>
        <vertAlign val="subscript"/>
        <sz val="11"/>
        <color theme="1"/>
        <rFont val="Calibri"/>
        <family val="2"/>
      </rPr>
      <t>i3</t>
    </r>
    <r>
      <rPr>
        <sz val="11"/>
        <color theme="1"/>
        <rFont val="Calibri"/>
        <family val="2"/>
        <scheme val="minor"/>
      </rPr>
      <t/>
    </r>
  </si>
  <si>
    <r>
      <t xml:space="preserve">ssy =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y</t>
    </r>
    <r>
      <rPr>
        <vertAlign val="subscript"/>
        <sz val="11"/>
        <color theme="1"/>
        <rFont val="Calibri"/>
        <family val="2"/>
      </rPr>
      <t>ij</t>
    </r>
    <r>
      <rPr>
        <vertAlign val="superscript"/>
        <sz val="11"/>
        <color theme="1"/>
        <rFont val="Calibri"/>
        <family val="2"/>
      </rPr>
      <t>2</t>
    </r>
  </si>
  <si>
    <t>square both sides</t>
  </si>
  <si>
    <t>ssy = ss0 + ssa + ssb + sse</t>
  </si>
  <si>
    <t>sst = ssa + ssb + sse = ssy - ss0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</si>
  <si>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y</t>
    </r>
    <r>
      <rPr>
        <vertAlign val="subscript"/>
        <sz val="11"/>
        <color theme="1"/>
        <rFont val="Calibri"/>
        <family val="2"/>
      </rPr>
      <t>ij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ab</t>
    </r>
    <r>
      <rPr>
        <sz val="11"/>
        <color theme="1"/>
        <rFont val="Arial"/>
        <family val="2"/>
      </rPr>
      <t>µ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b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</rPr>
      <t>j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a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i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e</t>
    </r>
    <r>
      <rPr>
        <vertAlign val="subscript"/>
        <sz val="11"/>
        <color theme="1"/>
        <rFont val="Calibri"/>
        <family val="2"/>
      </rPr>
      <t>ij</t>
    </r>
    <r>
      <rPr>
        <vertAlign val="superscript"/>
        <sz val="11"/>
        <color theme="1"/>
        <rFont val="Calibri"/>
        <family val="2"/>
      </rPr>
      <t>2</t>
    </r>
  </si>
  <si>
    <t>conf</t>
  </si>
  <si>
    <t>lib</t>
  </si>
  <si>
    <t>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</si>
</sst>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Arial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10" fontId="0" fillId="0" borderId="0" xfId="0" applyNumberFormat="1"/>
    <xf numFmtId="9" fontId="0" fillId="0" borderId="0" xfId="0" applyNumberFormat="1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Sheet1!$A$44:$A$52</c:f>
              <c:numCache>
                <c:formatCode>General</c:formatCode>
                <c:ptCount val="9"/>
                <c:pt idx="0">
                  <c:v>86.799999999999955</c:v>
                </c:pt>
                <c:pt idx="1">
                  <c:v>228.1</c:v>
                </c:pt>
                <c:pt idx="2">
                  <c:v>737.8</c:v>
                </c:pt>
                <c:pt idx="3">
                  <c:v>77.033333333333303</c:v>
                </c:pt>
                <c:pt idx="4">
                  <c:v>218.33333333333334</c:v>
                </c:pt>
                <c:pt idx="5">
                  <c:v>728.0333333333333</c:v>
                </c:pt>
                <c:pt idx="6">
                  <c:v>116.16666666666657</c:v>
                </c:pt>
                <c:pt idx="7">
                  <c:v>257.46666666666658</c:v>
                </c:pt>
                <c:pt idx="8">
                  <c:v>767.16666666666663</c:v>
                </c:pt>
              </c:numCache>
            </c:numRef>
          </c:xVal>
          <c:yVal>
            <c:numRef>
              <c:f>Sheet1!$B$44:$B$52</c:f>
              <c:numCache>
                <c:formatCode>General</c:formatCode>
                <c:ptCount val="9"/>
                <c:pt idx="0">
                  <c:v>7.5000000000000426</c:v>
                </c:pt>
                <c:pt idx="1">
                  <c:v>-3.1999999999999886</c:v>
                </c:pt>
                <c:pt idx="2">
                  <c:v>-4.2999999999999545</c:v>
                </c:pt>
                <c:pt idx="3">
                  <c:v>12.466666666666697</c:v>
                </c:pt>
                <c:pt idx="4">
                  <c:v>13.466666666666669</c:v>
                </c:pt>
                <c:pt idx="5">
                  <c:v>-25.93333333333328</c:v>
                </c:pt>
                <c:pt idx="6">
                  <c:v>-19.966666666666569</c:v>
                </c:pt>
                <c:pt idx="7">
                  <c:v>-10.266666666666595</c:v>
                </c:pt>
                <c:pt idx="8">
                  <c:v>30.233333333333348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158416"/>
        <c:axId val="-2114158960"/>
      </c:scatterChart>
      <c:valAx>
        <c:axId val="-211415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run time (seconds)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4158960"/>
        <c:crosses val="autoZero"/>
        <c:crossBetween val="midCat"/>
      </c:valAx>
      <c:valAx>
        <c:axId val="-2114158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 (seconds)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41584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yVal>
            <c:numRef>
              <c:f>Sheet1!$B$44:$B$52</c:f>
              <c:numCache>
                <c:formatCode>General</c:formatCode>
                <c:ptCount val="9"/>
                <c:pt idx="0">
                  <c:v>7.5000000000000426</c:v>
                </c:pt>
                <c:pt idx="1">
                  <c:v>-3.1999999999999886</c:v>
                </c:pt>
                <c:pt idx="2">
                  <c:v>-4.2999999999999545</c:v>
                </c:pt>
                <c:pt idx="3">
                  <c:v>12.466666666666697</c:v>
                </c:pt>
                <c:pt idx="4">
                  <c:v>13.466666666666669</c:v>
                </c:pt>
                <c:pt idx="5">
                  <c:v>-25.93333333333328</c:v>
                </c:pt>
                <c:pt idx="6">
                  <c:v>-19.966666666666569</c:v>
                </c:pt>
                <c:pt idx="7">
                  <c:v>-10.266666666666595</c:v>
                </c:pt>
                <c:pt idx="8">
                  <c:v>30.233333333333348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171472"/>
        <c:axId val="-2114157872"/>
      </c:scatterChart>
      <c:valAx>
        <c:axId val="-211417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experimental number</a:t>
                </a:r>
              </a:p>
            </c:rich>
          </c:tx>
          <c:overlay val="0"/>
        </c:title>
        <c:majorTickMark val="out"/>
        <c:minorTickMark val="none"/>
        <c:tickLblPos val="nextTo"/>
        <c:crossAx val="-2114157872"/>
        <c:crosses val="autoZero"/>
        <c:crossBetween val="midCat"/>
      </c:valAx>
      <c:valAx>
        <c:axId val="-2114157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 (seconds)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41714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Sheet1!$C$56:$C$64</c:f>
              <c:numCache>
                <c:formatCode>General</c:formatCode>
                <c:ptCount val="9"/>
                <c:pt idx="0">
                  <c:v>-1.5948702548629692</c:v>
                </c:pt>
                <c:pt idx="1">
                  <c:v>-0.96558119772402384</c:v>
                </c:pt>
                <c:pt idx="2">
                  <c:v>-0.58740139704861805</c:v>
                </c:pt>
                <c:pt idx="3">
                  <c:v>-0.28101035460789436</c:v>
                </c:pt>
                <c:pt idx="4">
                  <c:v>0</c:v>
                </c:pt>
                <c:pt idx="5">
                  <c:v>0.28101035460789436</c:v>
                </c:pt>
                <c:pt idx="6">
                  <c:v>0.58740139704861805</c:v>
                </c:pt>
                <c:pt idx="7">
                  <c:v>0.96558119772402384</c:v>
                </c:pt>
                <c:pt idx="8">
                  <c:v>1.5948702548629692</c:v>
                </c:pt>
              </c:numCache>
            </c:numRef>
          </c:xVal>
          <c:yVal>
            <c:numRef>
              <c:f>Sheet1!$D$56:$D$64</c:f>
              <c:numCache>
                <c:formatCode>General</c:formatCode>
                <c:ptCount val="9"/>
                <c:pt idx="0">
                  <c:v>-25.93333333333328</c:v>
                </c:pt>
                <c:pt idx="1">
                  <c:v>-19.966666666666569</c:v>
                </c:pt>
                <c:pt idx="2">
                  <c:v>-10.266666666666595</c:v>
                </c:pt>
                <c:pt idx="3">
                  <c:v>-4.2999999999999545</c:v>
                </c:pt>
                <c:pt idx="4">
                  <c:v>-3.1999999999999886</c:v>
                </c:pt>
                <c:pt idx="5">
                  <c:v>7.5000000000000426</c:v>
                </c:pt>
                <c:pt idx="6">
                  <c:v>12.466666666666697</c:v>
                </c:pt>
                <c:pt idx="7">
                  <c:v>13.466666666666669</c:v>
                </c:pt>
                <c:pt idx="8">
                  <c:v>30.233333333333348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167120"/>
        <c:axId val="-2114165488"/>
      </c:scatterChart>
      <c:valAx>
        <c:axId val="-211416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quantiles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4165488"/>
        <c:crosses val="autoZero"/>
        <c:crossBetween val="midCat"/>
      </c:valAx>
      <c:valAx>
        <c:axId val="-2114165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error residual quantiles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4167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Sheet1!$D$77:$D$83</c:f>
                <c:numCache>
                  <c:formatCode>General</c:formatCode>
                  <c:ptCount val="7"/>
                  <c:pt idx="0">
                    <c:v>23.190694572640123</c:v>
                  </c:pt>
                  <c:pt idx="1">
                    <c:v>32.79659478547979</c:v>
                  </c:pt>
                  <c:pt idx="2">
                    <c:v>32.79659478547979</c:v>
                  </c:pt>
                  <c:pt idx="3">
                    <c:v>32.79659478547979</c:v>
                  </c:pt>
                  <c:pt idx="4">
                    <c:v>32.79659478547979</c:v>
                  </c:pt>
                  <c:pt idx="5">
                    <c:v>32.79659478547979</c:v>
                  </c:pt>
                  <c:pt idx="6">
                    <c:v>32.79659478547979</c:v>
                  </c:pt>
                </c:numCache>
              </c:numRef>
            </c:plus>
            <c:minus>
              <c:numRef>
                <c:f>Sheet1!$D$77:$D$83</c:f>
                <c:numCache>
                  <c:formatCode>General</c:formatCode>
                  <c:ptCount val="7"/>
                  <c:pt idx="0">
                    <c:v>23.190694572640123</c:v>
                  </c:pt>
                  <c:pt idx="1">
                    <c:v>32.79659478547979</c:v>
                  </c:pt>
                  <c:pt idx="2">
                    <c:v>32.79659478547979</c:v>
                  </c:pt>
                  <c:pt idx="3">
                    <c:v>32.79659478547979</c:v>
                  </c:pt>
                  <c:pt idx="4">
                    <c:v>32.79659478547979</c:v>
                  </c:pt>
                  <c:pt idx="5">
                    <c:v>32.79659478547979</c:v>
                  </c:pt>
                  <c:pt idx="6">
                    <c:v>32.79659478547979</c:v>
                  </c:pt>
                </c:numCache>
              </c:numRef>
            </c:minus>
          </c:errBars>
          <c:cat>
            <c:strRef>
              <c:f>Sheet1!$B$77:$B$83</c:f>
              <c:strCache>
                <c:ptCount val="7"/>
                <c:pt idx="0">
                  <c:v>mean</c:v>
                </c:pt>
                <c:pt idx="1">
                  <c:v>lib</c:v>
                </c:pt>
                <c:pt idx="2">
                  <c:v>vfs</c:v>
                </c:pt>
                <c:pt idx="3">
                  <c:v>layered</c:v>
                </c:pt>
                <c:pt idx="4">
                  <c:v>comp</c:v>
                </c:pt>
                <c:pt idx="5">
                  <c:v>email</c:v>
                </c:pt>
                <c:pt idx="6">
                  <c:v>web server</c:v>
                </c:pt>
              </c:strCache>
            </c:strRef>
          </c:cat>
          <c:val>
            <c:numRef>
              <c:f>Sheet1!$C$77:$C$83</c:f>
              <c:numCache>
                <c:formatCode>General</c:formatCode>
                <c:ptCount val="7"/>
                <c:pt idx="0">
                  <c:v>357.43333333333339</c:v>
                </c:pt>
                <c:pt idx="1">
                  <c:v>-6.5333333333333599</c:v>
                </c:pt>
                <c:pt idx="2">
                  <c:v>-16.300000000000011</c:v>
                </c:pt>
                <c:pt idx="3">
                  <c:v>22.833333333333258</c:v>
                </c:pt>
                <c:pt idx="4">
                  <c:v>-264.10000000000008</c:v>
                </c:pt>
                <c:pt idx="5">
                  <c:v>-122.80000000000004</c:v>
                </c:pt>
                <c:pt idx="6">
                  <c:v>386.9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4157328"/>
        <c:axId val="-2114164944"/>
      </c:barChart>
      <c:catAx>
        <c:axId val="-211415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14164944"/>
        <c:crosses val="autoZero"/>
        <c:auto val="1"/>
        <c:lblAlgn val="ctr"/>
        <c:lblOffset val="100"/>
        <c:noMultiLvlLbl val="0"/>
      </c:catAx>
      <c:valAx>
        <c:axId val="-211416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114157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37</xdr:row>
      <xdr:rowOff>171450</xdr:rowOff>
    </xdr:from>
    <xdr:to>
      <xdr:col>14</xdr:col>
      <xdr:colOff>495300</xdr:colOff>
      <xdr:row>52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209550</xdr:colOff>
      <xdr:row>38</xdr:row>
      <xdr:rowOff>85725</xdr:rowOff>
    </xdr:from>
    <xdr:to>
      <xdr:col>22</xdr:col>
      <xdr:colOff>514350</xdr:colOff>
      <xdr:row>52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247650</xdr:colOff>
      <xdr:row>54</xdr:row>
      <xdr:rowOff>38100</xdr:rowOff>
    </xdr:from>
    <xdr:to>
      <xdr:col>14</xdr:col>
      <xdr:colOff>552450</xdr:colOff>
      <xdr:row>68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123825</xdr:colOff>
      <xdr:row>86</xdr:row>
      <xdr:rowOff>104775</xdr:rowOff>
    </xdr:from>
    <xdr:to>
      <xdr:col>15</xdr:col>
      <xdr:colOff>428625</xdr:colOff>
      <xdr:row>100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abSelected="1" topLeftCell="A16" workbookViewId="0">
      <selection activeCell="F91" sqref="F91"/>
    </sheetView>
  </sheetViews>
  <sheetFormatPr defaultRowHeight="15" x14ac:dyDescent="0.25"/>
  <sheetData>
    <row r="1" spans="1:23" ht="18.75" x14ac:dyDescent="0.35">
      <c r="A1" t="s">
        <v>0</v>
      </c>
    </row>
    <row r="3" spans="1:23" x14ac:dyDescent="0.25">
      <c r="A3" t="s">
        <v>15</v>
      </c>
      <c r="B3">
        <f>a*b</f>
        <v>9</v>
      </c>
    </row>
    <row r="4" spans="1:23" x14ac:dyDescent="0.25">
      <c r="E4" t="s">
        <v>7</v>
      </c>
      <c r="F4">
        <v>3</v>
      </c>
    </row>
    <row r="5" spans="1:23" ht="18.75" x14ac:dyDescent="0.35">
      <c r="B5" t="s">
        <v>8</v>
      </c>
      <c r="C5">
        <v>3</v>
      </c>
      <c r="E5" t="s">
        <v>1</v>
      </c>
      <c r="F5" t="s">
        <v>2</v>
      </c>
      <c r="G5" t="s">
        <v>3</v>
      </c>
      <c r="H5" t="s">
        <v>9</v>
      </c>
      <c r="I5" t="s">
        <v>10</v>
      </c>
      <c r="J5" s="1" t="s">
        <v>14</v>
      </c>
      <c r="K5" s="1" t="s">
        <v>21</v>
      </c>
      <c r="L5" s="1" t="s">
        <v>16</v>
      </c>
      <c r="M5" s="1" t="s">
        <v>91</v>
      </c>
      <c r="N5" s="1" t="s">
        <v>92</v>
      </c>
      <c r="O5" s="1" t="s">
        <v>22</v>
      </c>
      <c r="P5" s="1" t="s">
        <v>23</v>
      </c>
      <c r="Q5" s="1" t="s">
        <v>24</v>
      </c>
      <c r="R5" s="1" t="s">
        <v>27</v>
      </c>
      <c r="S5" s="1" t="s">
        <v>28</v>
      </c>
      <c r="T5" s="1" t="s">
        <v>29</v>
      </c>
      <c r="U5" s="1" t="s">
        <v>30</v>
      </c>
      <c r="V5" s="1" t="s">
        <v>31</v>
      </c>
      <c r="W5" s="1" t="s">
        <v>32</v>
      </c>
    </row>
    <row r="6" spans="1:23" x14ac:dyDescent="0.25">
      <c r="B6" t="s">
        <v>4</v>
      </c>
      <c r="E6">
        <v>94.3</v>
      </c>
      <c r="F6">
        <v>89.5</v>
      </c>
      <c r="G6">
        <v>96.2</v>
      </c>
      <c r="H6">
        <f>SUM(E6:G6)</f>
        <v>280</v>
      </c>
      <c r="I6">
        <f>H6/a</f>
        <v>93.333333333333329</v>
      </c>
      <c r="J6">
        <f>I6-mean_y</f>
        <v>-264.10000000000008</v>
      </c>
      <c r="K6">
        <f>J6^2</f>
        <v>69748.810000000041</v>
      </c>
      <c r="L6">
        <f>mean_y+a_1+J6</f>
        <v>86.799999999999955</v>
      </c>
      <c r="M6">
        <f>mean_y+a_2+J6</f>
        <v>77.033333333333303</v>
      </c>
      <c r="N6">
        <f>mean_y+a_3+J6</f>
        <v>116.16666666666657</v>
      </c>
      <c r="O6">
        <f>E6^2</f>
        <v>8892.49</v>
      </c>
      <c r="P6">
        <f t="shared" ref="P6:Q6" si="0">F6^2</f>
        <v>8010.25</v>
      </c>
      <c r="Q6">
        <f t="shared" si="0"/>
        <v>9254.44</v>
      </c>
      <c r="R6">
        <f>E6-L6</f>
        <v>7.5000000000000426</v>
      </c>
      <c r="S6">
        <f t="shared" ref="S6:T6" si="1">F6-M6</f>
        <v>12.466666666666697</v>
      </c>
      <c r="T6">
        <f t="shared" si="1"/>
        <v>-19.966666666666569</v>
      </c>
      <c r="U6">
        <f>R6^2</f>
        <v>56.250000000000639</v>
      </c>
      <c r="V6">
        <f t="shared" ref="V6:W6" si="2">S6^2</f>
        <v>155.41777777777853</v>
      </c>
      <c r="W6">
        <f t="shared" si="2"/>
        <v>398.66777777777389</v>
      </c>
    </row>
    <row r="7" spans="1:23" x14ac:dyDescent="0.25">
      <c r="B7" t="s">
        <v>5</v>
      </c>
      <c r="E7">
        <v>224.9</v>
      </c>
      <c r="F7">
        <v>231.8</v>
      </c>
      <c r="G7">
        <v>247.2</v>
      </c>
      <c r="H7">
        <f t="shared" ref="H7:H8" si="3">SUM(E7:G7)</f>
        <v>703.90000000000009</v>
      </c>
      <c r="I7">
        <f>H7/a</f>
        <v>234.63333333333335</v>
      </c>
      <c r="J7">
        <f>I7-mean_y</f>
        <v>-122.80000000000004</v>
      </c>
      <c r="K7">
        <f t="shared" ref="K7:K8" si="4">J7^2</f>
        <v>15079.840000000009</v>
      </c>
      <c r="L7">
        <f>mean_y+a_1+J7</f>
        <v>228.1</v>
      </c>
      <c r="M7">
        <f>mean_y+a_2+J7</f>
        <v>218.33333333333334</v>
      </c>
      <c r="N7">
        <f>mean_y+a_3+J7</f>
        <v>257.46666666666658</v>
      </c>
      <c r="O7">
        <f t="shared" ref="O7:O8" si="5">E7^2</f>
        <v>50580.01</v>
      </c>
      <c r="P7">
        <f t="shared" ref="P7:P8" si="6">F7^2</f>
        <v>53731.240000000005</v>
      </c>
      <c r="Q7">
        <f t="shared" ref="Q7:Q8" si="7">G7^2</f>
        <v>61107.839999999997</v>
      </c>
      <c r="R7">
        <f t="shared" ref="R7:R8" si="8">E7-L7</f>
        <v>-3.1999999999999886</v>
      </c>
      <c r="S7">
        <f t="shared" ref="S7:S8" si="9">F7-M7</f>
        <v>13.466666666666669</v>
      </c>
      <c r="T7">
        <f t="shared" ref="T7:T8" si="10">G7-N7</f>
        <v>-10.266666666666595</v>
      </c>
      <c r="U7">
        <f t="shared" ref="U7:U8" si="11">R7^2</f>
        <v>10.239999999999927</v>
      </c>
      <c r="V7">
        <f t="shared" ref="V7:V8" si="12">S7^2</f>
        <v>181.35111111111115</v>
      </c>
      <c r="W7">
        <f t="shared" ref="W7:W8" si="13">T7^2</f>
        <v>105.40444444444297</v>
      </c>
    </row>
    <row r="8" spans="1:23" x14ac:dyDescent="0.25">
      <c r="B8" t="s">
        <v>6</v>
      </c>
      <c r="E8">
        <v>733.5</v>
      </c>
      <c r="F8">
        <v>702.1</v>
      </c>
      <c r="G8">
        <v>797.4</v>
      </c>
      <c r="H8">
        <f t="shared" si="3"/>
        <v>2233</v>
      </c>
      <c r="I8">
        <f>H8/a</f>
        <v>744.33333333333337</v>
      </c>
      <c r="J8">
        <f>I8-mean_y</f>
        <v>386.9</v>
      </c>
      <c r="K8">
        <f t="shared" si="4"/>
        <v>149691.60999999999</v>
      </c>
      <c r="L8">
        <f>mean_y+a_1+J8</f>
        <v>737.8</v>
      </c>
      <c r="M8">
        <f>mean_y+a_2+J8</f>
        <v>728.0333333333333</v>
      </c>
      <c r="N8">
        <f>mean_y+a_3+J8</f>
        <v>767.16666666666663</v>
      </c>
      <c r="O8">
        <f t="shared" si="5"/>
        <v>538022.25</v>
      </c>
      <c r="P8">
        <f t="shared" si="6"/>
        <v>492944.41000000003</v>
      </c>
      <c r="Q8">
        <f t="shared" si="7"/>
        <v>635846.76</v>
      </c>
      <c r="R8">
        <f t="shared" si="8"/>
        <v>-4.2999999999999545</v>
      </c>
      <c r="S8">
        <f t="shared" si="9"/>
        <v>-25.93333333333328</v>
      </c>
      <c r="T8">
        <f t="shared" si="10"/>
        <v>30.233333333333348</v>
      </c>
      <c r="U8">
        <f t="shared" si="11"/>
        <v>18.489999999999608</v>
      </c>
      <c r="V8">
        <f t="shared" si="12"/>
        <v>672.53777777777498</v>
      </c>
      <c r="W8">
        <f t="shared" si="13"/>
        <v>914.05444444444538</v>
      </c>
    </row>
    <row r="9" spans="1:23" x14ac:dyDescent="0.25">
      <c r="C9" t="s">
        <v>11</v>
      </c>
      <c r="E9">
        <f>SUM(E6:E8)</f>
        <v>1052.7</v>
      </c>
      <c r="F9">
        <f t="shared" ref="F9:G9" si="14">SUM(F6:F8)</f>
        <v>1023.4000000000001</v>
      </c>
      <c r="G9">
        <f t="shared" si="14"/>
        <v>1140.8</v>
      </c>
      <c r="H9">
        <f>SUM(E9:G9)</f>
        <v>3216.9000000000005</v>
      </c>
    </row>
    <row r="10" spans="1:23" x14ac:dyDescent="0.25">
      <c r="C10" t="s">
        <v>12</v>
      </c>
      <c r="E10">
        <f>E9/b</f>
        <v>350.90000000000003</v>
      </c>
      <c r="F10">
        <f>F9/b</f>
        <v>341.13333333333338</v>
      </c>
      <c r="G10">
        <f>G9/b</f>
        <v>380.26666666666665</v>
      </c>
      <c r="I10">
        <f>AVERAGE(I6:I8)</f>
        <v>357.43333333333339</v>
      </c>
    </row>
    <row r="11" spans="1:23" ht="18.75" x14ac:dyDescent="0.35">
      <c r="D11" s="1" t="s">
        <v>13</v>
      </c>
      <c r="E11">
        <f>E10-mean_y</f>
        <v>-6.5333333333333599</v>
      </c>
      <c r="F11">
        <f>F10-mean_y</f>
        <v>-16.300000000000011</v>
      </c>
      <c r="G11">
        <f>G10-mean_y</f>
        <v>22.833333333333258</v>
      </c>
    </row>
    <row r="12" spans="1:23" ht="18.75" x14ac:dyDescent="0.35">
      <c r="D12" s="1" t="s">
        <v>20</v>
      </c>
      <c r="E12">
        <f>E11^2</f>
        <v>42.684444444444793</v>
      </c>
      <c r="F12">
        <f t="shared" ref="F12:G12" si="15">F11^2</f>
        <v>265.6900000000004</v>
      </c>
      <c r="G12">
        <f t="shared" si="15"/>
        <v>521.36111111110768</v>
      </c>
    </row>
    <row r="13" spans="1:23" x14ac:dyDescent="0.25">
      <c r="D13" s="1"/>
    </row>
    <row r="14" spans="1:23" ht="18.75" x14ac:dyDescent="0.35">
      <c r="A14" t="s">
        <v>0</v>
      </c>
      <c r="D14" s="1"/>
    </row>
    <row r="15" spans="1:23" x14ac:dyDescent="0.25">
      <c r="A15" t="s">
        <v>94</v>
      </c>
      <c r="D15" s="1"/>
    </row>
    <row r="16" spans="1:23" ht="18.75" x14ac:dyDescent="0.35">
      <c r="A16" s="1" t="s">
        <v>97</v>
      </c>
      <c r="D16" s="1"/>
    </row>
    <row r="17" spans="1:4" x14ac:dyDescent="0.25">
      <c r="A17" s="1" t="s">
        <v>95</v>
      </c>
      <c r="D17" s="1"/>
    </row>
    <row r="18" spans="1:4" x14ac:dyDescent="0.25">
      <c r="A18" t="s">
        <v>96</v>
      </c>
      <c r="D18" s="1"/>
    </row>
    <row r="19" spans="1:4" x14ac:dyDescent="0.25">
      <c r="A19" s="1"/>
      <c r="D19" s="1"/>
    </row>
    <row r="20" spans="1:4" x14ac:dyDescent="0.25">
      <c r="A20" t="s">
        <v>33</v>
      </c>
      <c r="C20">
        <f>SUM(U6:W8)</f>
        <v>2512.413333333327</v>
      </c>
      <c r="D20" s="1"/>
    </row>
    <row r="21" spans="1:4" ht="17.25" x14ac:dyDescent="0.25">
      <c r="A21" t="s">
        <v>19</v>
      </c>
      <c r="C21">
        <f>a*b*mean_y^2</f>
        <v>1149827.2900000005</v>
      </c>
    </row>
    <row r="22" spans="1:4" ht="18.75" x14ac:dyDescent="0.35">
      <c r="A22" t="s">
        <v>17</v>
      </c>
      <c r="C22">
        <f>b*SUM(E12:G12)</f>
        <v>2489.2066666666587</v>
      </c>
    </row>
    <row r="23" spans="1:4" ht="18.75" x14ac:dyDescent="0.35">
      <c r="A23" t="s">
        <v>18</v>
      </c>
      <c r="C23">
        <f>a*SUM(K6:K8)</f>
        <v>703560.78000000014</v>
      </c>
    </row>
    <row r="24" spans="1:4" ht="18.75" x14ac:dyDescent="0.35">
      <c r="A24" t="s">
        <v>93</v>
      </c>
      <c r="C24">
        <f>SUM(O6:Q8)</f>
        <v>1858389.6900000002</v>
      </c>
    </row>
    <row r="25" spans="1:4" x14ac:dyDescent="0.25">
      <c r="A25" t="s">
        <v>25</v>
      </c>
      <c r="C25">
        <f>ssy-ss0</f>
        <v>708562.39999999967</v>
      </c>
    </row>
    <row r="27" spans="1:4" x14ac:dyDescent="0.25">
      <c r="A27" t="s">
        <v>26</v>
      </c>
    </row>
    <row r="28" spans="1:4" x14ac:dyDescent="0.25">
      <c r="A28" t="s">
        <v>34</v>
      </c>
      <c r="B28" s="2">
        <f>ssa/sst</f>
        <v>3.5130380424739727E-3</v>
      </c>
    </row>
    <row r="29" spans="1:4" x14ac:dyDescent="0.25">
      <c r="A29" t="s">
        <v>35</v>
      </c>
      <c r="B29" s="2">
        <f>ssb/sst</f>
        <v>0.99294117215364586</v>
      </c>
      <c r="D29" t="s">
        <v>53</v>
      </c>
    </row>
    <row r="30" spans="1:4" x14ac:dyDescent="0.25">
      <c r="A30" t="s">
        <v>36</v>
      </c>
      <c r="B30" s="2">
        <f>sse/sst</f>
        <v>3.5457898038808271E-3</v>
      </c>
    </row>
    <row r="32" spans="1:4" x14ac:dyDescent="0.25">
      <c r="A32" t="s">
        <v>45</v>
      </c>
    </row>
    <row r="33" spans="1:7" x14ac:dyDescent="0.25">
      <c r="A33" t="s">
        <v>40</v>
      </c>
      <c r="C33" s="3"/>
      <c r="D33">
        <f>sse/((a-1)*(b-1))</f>
        <v>628.10333333333176</v>
      </c>
    </row>
    <row r="34" spans="1:7" x14ac:dyDescent="0.25">
      <c r="A34" t="s">
        <v>41</v>
      </c>
      <c r="C34" s="3"/>
      <c r="D34">
        <f>ssa/(a-1)</f>
        <v>1244.6033333333294</v>
      </c>
    </row>
    <row r="35" spans="1:7" x14ac:dyDescent="0.25">
      <c r="A35" t="s">
        <v>42</v>
      </c>
      <c r="D35">
        <f>ssb/(b-1)</f>
        <v>351780.39000000007</v>
      </c>
    </row>
    <row r="36" spans="1:7" x14ac:dyDescent="0.25">
      <c r="A36" t="s">
        <v>43</v>
      </c>
      <c r="D36">
        <f>msa/mse</f>
        <v>1.9815263942769488</v>
      </c>
      <c r="E36" t="s">
        <v>49</v>
      </c>
      <c r="F36" t="s">
        <v>50</v>
      </c>
    </row>
    <row r="37" spans="1:7" x14ac:dyDescent="0.25">
      <c r="A37" t="s">
        <v>44</v>
      </c>
      <c r="D37">
        <f>msb/mse</f>
        <v>560.06770117443671</v>
      </c>
      <c r="E37" t="s">
        <v>51</v>
      </c>
      <c r="F37" t="s">
        <v>52</v>
      </c>
    </row>
    <row r="39" spans="1:7" x14ac:dyDescent="0.25">
      <c r="A39" t="s">
        <v>37</v>
      </c>
      <c r="D39" s="3">
        <v>0.95</v>
      </c>
    </row>
    <row r="40" spans="1:7" x14ac:dyDescent="0.25">
      <c r="A40" t="s">
        <v>46</v>
      </c>
      <c r="E40">
        <v>6.94</v>
      </c>
      <c r="G40" t="s">
        <v>48</v>
      </c>
    </row>
    <row r="41" spans="1:7" x14ac:dyDescent="0.25">
      <c r="A41" t="s">
        <v>47</v>
      </c>
      <c r="E41">
        <v>6.94</v>
      </c>
    </row>
    <row r="43" spans="1:7" x14ac:dyDescent="0.25">
      <c r="A43" s="1" t="s">
        <v>54</v>
      </c>
      <c r="B43" t="s">
        <v>55</v>
      </c>
    </row>
    <row r="44" spans="1:7" x14ac:dyDescent="0.25">
      <c r="A44">
        <v>86.799999999999955</v>
      </c>
      <c r="B44">
        <v>7.5000000000000426</v>
      </c>
    </row>
    <row r="45" spans="1:7" x14ac:dyDescent="0.25">
      <c r="A45">
        <v>228.1</v>
      </c>
      <c r="B45">
        <v>-3.1999999999999886</v>
      </c>
    </row>
    <row r="46" spans="1:7" x14ac:dyDescent="0.25">
      <c r="A46">
        <v>737.8</v>
      </c>
      <c r="B46">
        <v>-4.2999999999999545</v>
      </c>
    </row>
    <row r="47" spans="1:7" x14ac:dyDescent="0.25">
      <c r="A47">
        <v>77.033333333333303</v>
      </c>
      <c r="B47">
        <v>12.466666666666697</v>
      </c>
    </row>
    <row r="48" spans="1:7" x14ac:dyDescent="0.25">
      <c r="A48">
        <v>218.33333333333334</v>
      </c>
      <c r="B48">
        <v>13.466666666666669</v>
      </c>
    </row>
    <row r="49" spans="1:4" x14ac:dyDescent="0.25">
      <c r="A49">
        <v>728.0333333333333</v>
      </c>
      <c r="B49">
        <v>-25.93333333333328</v>
      </c>
    </row>
    <row r="50" spans="1:4" x14ac:dyDescent="0.25">
      <c r="A50">
        <v>116.16666666666657</v>
      </c>
      <c r="B50">
        <v>-19.966666666666569</v>
      </c>
    </row>
    <row r="51" spans="1:4" x14ac:dyDescent="0.25">
      <c r="A51">
        <v>257.46666666666658</v>
      </c>
      <c r="B51">
        <v>-10.266666666666595</v>
      </c>
    </row>
    <row r="52" spans="1:4" x14ac:dyDescent="0.25">
      <c r="A52">
        <v>767.16666666666663</v>
      </c>
      <c r="B52">
        <v>30.233333333333348</v>
      </c>
    </row>
    <row r="55" spans="1:4" x14ac:dyDescent="0.25">
      <c r="A55" t="s">
        <v>56</v>
      </c>
      <c r="B55" t="s">
        <v>57</v>
      </c>
      <c r="C55" t="s">
        <v>58</v>
      </c>
      <c r="D55" t="s">
        <v>59</v>
      </c>
    </row>
    <row r="56" spans="1:4" x14ac:dyDescent="0.25">
      <c r="A56">
        <v>1</v>
      </c>
      <c r="B56">
        <f t="shared" ref="B56:B64" si="16">(A56-0.5)/n</f>
        <v>5.5555555555555552E-2</v>
      </c>
      <c r="C56">
        <f>4.91*(B56^0.14-(1-B56)^0.14)</f>
        <v>-1.5948702548629692</v>
      </c>
      <c r="D56">
        <v>-25.93333333333328</v>
      </c>
    </row>
    <row r="57" spans="1:4" x14ac:dyDescent="0.25">
      <c r="A57">
        <v>2</v>
      </c>
      <c r="B57">
        <f t="shared" si="16"/>
        <v>0.16666666666666666</v>
      </c>
      <c r="C57">
        <f t="shared" ref="C57:C64" si="17">4.91*(B57^0.14-(1-B57)^0.14)</f>
        <v>-0.96558119772402384</v>
      </c>
      <c r="D57">
        <v>-19.966666666666569</v>
      </c>
    </row>
    <row r="58" spans="1:4" x14ac:dyDescent="0.25">
      <c r="A58">
        <v>3</v>
      </c>
      <c r="B58">
        <f t="shared" si="16"/>
        <v>0.27777777777777779</v>
      </c>
      <c r="C58">
        <f t="shared" si="17"/>
        <v>-0.58740139704861805</v>
      </c>
      <c r="D58">
        <v>-10.266666666666595</v>
      </c>
    </row>
    <row r="59" spans="1:4" x14ac:dyDescent="0.25">
      <c r="A59">
        <v>4</v>
      </c>
      <c r="B59">
        <f t="shared" si="16"/>
        <v>0.3888888888888889</v>
      </c>
      <c r="C59">
        <f t="shared" si="17"/>
        <v>-0.28101035460789436</v>
      </c>
      <c r="D59">
        <v>-4.2999999999999545</v>
      </c>
    </row>
    <row r="60" spans="1:4" x14ac:dyDescent="0.25">
      <c r="A60">
        <v>5</v>
      </c>
      <c r="B60">
        <f t="shared" si="16"/>
        <v>0.5</v>
      </c>
      <c r="C60">
        <f t="shared" si="17"/>
        <v>0</v>
      </c>
      <c r="D60">
        <v>-3.1999999999999886</v>
      </c>
    </row>
    <row r="61" spans="1:4" x14ac:dyDescent="0.25">
      <c r="A61">
        <v>6</v>
      </c>
      <c r="B61">
        <f t="shared" si="16"/>
        <v>0.61111111111111116</v>
      </c>
      <c r="C61">
        <f t="shared" si="17"/>
        <v>0.28101035460789436</v>
      </c>
      <c r="D61">
        <v>7.5000000000000426</v>
      </c>
    </row>
    <row r="62" spans="1:4" x14ac:dyDescent="0.25">
      <c r="A62">
        <v>7</v>
      </c>
      <c r="B62">
        <f t="shared" si="16"/>
        <v>0.72222222222222221</v>
      </c>
      <c r="C62">
        <f t="shared" si="17"/>
        <v>0.58740139704861805</v>
      </c>
      <c r="D62">
        <v>12.466666666666697</v>
      </c>
    </row>
    <row r="63" spans="1:4" x14ac:dyDescent="0.25">
      <c r="A63">
        <v>8</v>
      </c>
      <c r="B63">
        <f t="shared" si="16"/>
        <v>0.83333333333333337</v>
      </c>
      <c r="C63">
        <f t="shared" si="17"/>
        <v>0.96558119772402384</v>
      </c>
      <c r="D63">
        <v>13.466666666666669</v>
      </c>
    </row>
    <row r="64" spans="1:4" x14ac:dyDescent="0.25">
      <c r="A64">
        <v>9</v>
      </c>
      <c r="B64">
        <f t="shared" si="16"/>
        <v>0.94444444444444442</v>
      </c>
      <c r="C64">
        <f t="shared" si="17"/>
        <v>1.5948702548629692</v>
      </c>
      <c r="D64">
        <v>30.233333333333348</v>
      </c>
    </row>
    <row r="66" spans="1:8" ht="18" x14ac:dyDescent="0.35">
      <c r="A66" t="s">
        <v>60</v>
      </c>
      <c r="D66">
        <f>SQRT(mse)</f>
        <v>25.061989811930971</v>
      </c>
    </row>
    <row r="67" spans="1:8" ht="18.75" x14ac:dyDescent="0.35">
      <c r="A67" t="s">
        <v>61</v>
      </c>
      <c r="D67">
        <f>se/SQRT(a*b)</f>
        <v>8.3539966039769897</v>
      </c>
    </row>
    <row r="68" spans="1:8" ht="18" x14ac:dyDescent="0.35">
      <c r="A68" t="s">
        <v>62</v>
      </c>
      <c r="D68">
        <f>se*SQRT((a-1)/(a*b))</f>
        <v>11.814335297363037</v>
      </c>
    </row>
    <row r="69" spans="1:8" ht="18" x14ac:dyDescent="0.35">
      <c r="A69" t="s">
        <v>63</v>
      </c>
      <c r="D69">
        <f>se*SQRT((b-1)/(a*b))</f>
        <v>11.814335297363037</v>
      </c>
    </row>
    <row r="71" spans="1:8" x14ac:dyDescent="0.25">
      <c r="A71" t="s">
        <v>37</v>
      </c>
      <c r="D71" s="3">
        <v>0.95</v>
      </c>
    </row>
    <row r="72" spans="1:8" x14ac:dyDescent="0.25">
      <c r="A72" t="s">
        <v>38</v>
      </c>
      <c r="D72" s="3">
        <f>1 - D71</f>
        <v>5.0000000000000044E-2</v>
      </c>
    </row>
    <row r="73" spans="1:8" x14ac:dyDescent="0.25">
      <c r="A73" t="s">
        <v>39</v>
      </c>
      <c r="D73" s="4">
        <f>1-alpha/2</f>
        <v>0.97499999999999998</v>
      </c>
    </row>
    <row r="74" spans="1:8" x14ac:dyDescent="0.25">
      <c r="A74" t="s">
        <v>67</v>
      </c>
      <c r="D74">
        <v>2.7759999999999998</v>
      </c>
    </row>
    <row r="76" spans="1:8" x14ac:dyDescent="0.25">
      <c r="C76" t="s">
        <v>79</v>
      </c>
      <c r="D76" t="s">
        <v>98</v>
      </c>
      <c r="E76" t="s">
        <v>71</v>
      </c>
      <c r="F76" t="s">
        <v>72</v>
      </c>
    </row>
    <row r="77" spans="1:8" x14ac:dyDescent="0.25">
      <c r="A77" s="5" t="s">
        <v>77</v>
      </c>
      <c r="B77" t="s">
        <v>79</v>
      </c>
      <c r="C77">
        <f>mean_y</f>
        <v>357.43333333333339</v>
      </c>
      <c r="D77">
        <f>t_975_4*sm</f>
        <v>23.190694572640123</v>
      </c>
      <c r="E77">
        <f>mean_y-sm*t_975_4</f>
        <v>334.2426387606933</v>
      </c>
      <c r="F77">
        <f>mean_y+sm*t_975_4</f>
        <v>380.62402790597349</v>
      </c>
      <c r="H77" t="s">
        <v>52</v>
      </c>
    </row>
    <row r="78" spans="1:8" ht="18.75" x14ac:dyDescent="0.35">
      <c r="A78" s="1" t="s">
        <v>64</v>
      </c>
      <c r="B78" t="s">
        <v>99</v>
      </c>
      <c r="C78">
        <f>a_1</f>
        <v>-6.5333333333333599</v>
      </c>
      <c r="D78">
        <f t="shared" ref="D78:D80" si="18">t_975_4*sa</f>
        <v>32.79659478547979</v>
      </c>
      <c r="E78">
        <f>a_1-sa*t_975_4</f>
        <v>-39.32992811881315</v>
      </c>
      <c r="F78">
        <f>a_1+sa*t_975_4</f>
        <v>26.26326145214643</v>
      </c>
      <c r="H78" t="s">
        <v>50</v>
      </c>
    </row>
    <row r="79" spans="1:8" ht="18.75" x14ac:dyDescent="0.35">
      <c r="A79" s="1" t="s">
        <v>65</v>
      </c>
      <c r="B79" t="s">
        <v>73</v>
      </c>
      <c r="C79">
        <f>a_2</f>
        <v>-16.300000000000011</v>
      </c>
      <c r="D79">
        <f t="shared" si="18"/>
        <v>32.79659478547979</v>
      </c>
      <c r="E79">
        <f>a_2-sa*t_975_4</f>
        <v>-49.096594785479802</v>
      </c>
      <c r="F79">
        <f>a_2+sa*t_975_4</f>
        <v>16.496594785479779</v>
      </c>
      <c r="H79" t="s">
        <v>50</v>
      </c>
    </row>
    <row r="80" spans="1:8" ht="18.75" x14ac:dyDescent="0.35">
      <c r="A80" s="1" t="s">
        <v>66</v>
      </c>
      <c r="B80" t="s">
        <v>74</v>
      </c>
      <c r="C80">
        <f>a_3</f>
        <v>22.833333333333258</v>
      </c>
      <c r="D80">
        <f t="shared" si="18"/>
        <v>32.79659478547979</v>
      </c>
      <c r="E80">
        <f>a_3-sa*t_975_4</f>
        <v>-9.9632614521465328</v>
      </c>
      <c r="F80">
        <f>a_3+sa*t_975_4</f>
        <v>55.629928118813048</v>
      </c>
      <c r="H80" t="s">
        <v>50</v>
      </c>
    </row>
    <row r="81" spans="1:8" ht="18" x14ac:dyDescent="0.35">
      <c r="A81" s="1" t="s">
        <v>68</v>
      </c>
      <c r="B81" t="s">
        <v>100</v>
      </c>
      <c r="C81">
        <f>b_1</f>
        <v>-264.10000000000008</v>
      </c>
      <c r="D81">
        <f t="shared" ref="D81:D83" si="19">t_975_4*sb</f>
        <v>32.79659478547979</v>
      </c>
      <c r="E81">
        <f>b_1-sb*t_975_4</f>
        <v>-296.89659478547986</v>
      </c>
      <c r="F81">
        <f>b_1+sb*t_975_4</f>
        <v>-231.3034052145203</v>
      </c>
      <c r="H81" t="s">
        <v>52</v>
      </c>
    </row>
    <row r="82" spans="1:8" ht="18" x14ac:dyDescent="0.35">
      <c r="A82" s="1" t="s">
        <v>69</v>
      </c>
      <c r="B82" t="s">
        <v>75</v>
      </c>
      <c r="C82">
        <f>b_2</f>
        <v>-122.80000000000004</v>
      </c>
      <c r="D82">
        <f t="shared" si="19"/>
        <v>32.79659478547979</v>
      </c>
      <c r="E82">
        <f>b_2-sb*t_975_4</f>
        <v>-155.59659478547982</v>
      </c>
      <c r="F82">
        <f>b_2+sb*t_975_4</f>
        <v>-90.003405214520257</v>
      </c>
      <c r="H82" t="s">
        <v>52</v>
      </c>
    </row>
    <row r="83" spans="1:8" ht="18" x14ac:dyDescent="0.35">
      <c r="A83" s="1" t="s">
        <v>70</v>
      </c>
      <c r="B83" t="s">
        <v>76</v>
      </c>
      <c r="C83">
        <f>b_3</f>
        <v>386.9</v>
      </c>
      <c r="D83">
        <f t="shared" si="19"/>
        <v>32.79659478547979</v>
      </c>
      <c r="E83">
        <f>b_3-sb*t_975_4</f>
        <v>354.10340521452019</v>
      </c>
      <c r="F83">
        <f>b_3+sb*t_975_4</f>
        <v>419.69659478547976</v>
      </c>
      <c r="H83" t="s">
        <v>52</v>
      </c>
    </row>
    <row r="85" spans="1:8" x14ac:dyDescent="0.25">
      <c r="C85" t="s">
        <v>71</v>
      </c>
      <c r="D85" t="s">
        <v>72</v>
      </c>
    </row>
    <row r="86" spans="1:8" ht="18.75" x14ac:dyDescent="0.35">
      <c r="A86" s="1" t="s">
        <v>85</v>
      </c>
      <c r="B86">
        <f>C79-C80</f>
        <v>-39.133333333333269</v>
      </c>
      <c r="C86">
        <f>B86-t_975_4*C87</f>
        <v>-186.71800986799232</v>
      </c>
      <c r="D86">
        <f>B86+t_975_4*C87</f>
        <v>108.45134320132578</v>
      </c>
      <c r="F86" t="s">
        <v>50</v>
      </c>
    </row>
    <row r="87" spans="1:8" x14ac:dyDescent="0.25">
      <c r="A87" s="1" t="s">
        <v>78</v>
      </c>
      <c r="C87">
        <f>se/SQRT(2/(a*b))</f>
        <v>53.164508838133671</v>
      </c>
    </row>
    <row r="88" spans="1:8" x14ac:dyDescent="0.25">
      <c r="A88" s="1"/>
      <c r="C88" s="3"/>
    </row>
    <row r="89" spans="1:8" x14ac:dyDescent="0.25">
      <c r="A89" t="s">
        <v>84</v>
      </c>
    </row>
    <row r="90" spans="1:8" x14ac:dyDescent="0.25">
      <c r="A90" t="s">
        <v>2</v>
      </c>
      <c r="B90" t="s">
        <v>3</v>
      </c>
      <c r="C90" t="s">
        <v>80</v>
      </c>
    </row>
    <row r="91" spans="1:8" x14ac:dyDescent="0.25">
      <c r="A91">
        <v>89.5</v>
      </c>
      <c r="B91">
        <v>96.2</v>
      </c>
      <c r="C91">
        <f>A91-B91</f>
        <v>-6.7000000000000028</v>
      </c>
    </row>
    <row r="92" spans="1:8" x14ac:dyDescent="0.25">
      <c r="A92">
        <v>231.8</v>
      </c>
      <c r="B92">
        <v>247.2</v>
      </c>
      <c r="C92">
        <f t="shared" ref="C92:C93" si="20">A92-B92</f>
        <v>-15.399999999999977</v>
      </c>
    </row>
    <row r="93" spans="1:8" x14ac:dyDescent="0.25">
      <c r="A93">
        <v>702.1</v>
      </c>
      <c r="B93">
        <v>797.4</v>
      </c>
      <c r="C93">
        <f t="shared" si="20"/>
        <v>-95.299999999999955</v>
      </c>
    </row>
    <row r="94" spans="1:8" x14ac:dyDescent="0.25">
      <c r="B94" t="s">
        <v>79</v>
      </c>
      <c r="C94">
        <f>AVERAGE(C91:C93)</f>
        <v>-39.133333333333312</v>
      </c>
    </row>
    <row r="95" spans="1:8" x14ac:dyDescent="0.25">
      <c r="B95" t="s">
        <v>81</v>
      </c>
      <c r="C95">
        <f>STDEV(C91:C93)</f>
        <v>48.835881617242578</v>
      </c>
    </row>
    <row r="96" spans="1:8" x14ac:dyDescent="0.25">
      <c r="B96" t="s">
        <v>82</v>
      </c>
      <c r="C96">
        <f>C95^2</f>
        <v>2384.9433333333313</v>
      </c>
    </row>
    <row r="98" spans="1:6" x14ac:dyDescent="0.25">
      <c r="A98" t="s">
        <v>37</v>
      </c>
      <c r="C98" s="3">
        <v>0.95</v>
      </c>
    </row>
    <row r="99" spans="1:6" x14ac:dyDescent="0.25">
      <c r="A99" t="s">
        <v>38</v>
      </c>
      <c r="C99" s="3">
        <f>1-C98</f>
        <v>5.0000000000000044E-2</v>
      </c>
    </row>
    <row r="100" spans="1:6" x14ac:dyDescent="0.25">
      <c r="A100" t="s">
        <v>39</v>
      </c>
      <c r="C100">
        <f>1-alpha/2</f>
        <v>0.97499999999999998</v>
      </c>
    </row>
    <row r="101" spans="1:6" x14ac:dyDescent="0.25">
      <c r="A101" t="s">
        <v>83</v>
      </c>
      <c r="C101">
        <v>3.1819999999999999</v>
      </c>
    </row>
    <row r="102" spans="1:6" x14ac:dyDescent="0.25">
      <c r="B102" t="s">
        <v>71</v>
      </c>
      <c r="C102" t="s">
        <v>72</v>
      </c>
    </row>
    <row r="103" spans="1:6" x14ac:dyDescent="0.25">
      <c r="B103">
        <f>C94-t_975_3*SQRT(C96/3)</f>
        <v>-128.85112603722104</v>
      </c>
      <c r="C103">
        <f>C94+t_975_3*SQRT(C96/3)</f>
        <v>50.584459370554413</v>
      </c>
      <c r="D103" t="s">
        <v>50</v>
      </c>
    </row>
    <row r="105" spans="1:6" x14ac:dyDescent="0.25">
      <c r="A105" t="s">
        <v>86</v>
      </c>
    </row>
    <row r="106" spans="1:6" x14ac:dyDescent="0.25">
      <c r="B106" t="s">
        <v>2</v>
      </c>
      <c r="C106" t="s">
        <v>3</v>
      </c>
      <c r="D106" t="s">
        <v>89</v>
      </c>
    </row>
    <row r="107" spans="1:6" x14ac:dyDescent="0.25">
      <c r="B107">
        <v>89.5</v>
      </c>
      <c r="C107">
        <v>96.2</v>
      </c>
    </row>
    <row r="108" spans="1:6" x14ac:dyDescent="0.25">
      <c r="B108">
        <v>231.8</v>
      </c>
      <c r="C108">
        <v>247.2</v>
      </c>
    </row>
    <row r="109" spans="1:6" x14ac:dyDescent="0.25">
      <c r="B109">
        <v>702.1</v>
      </c>
      <c r="C109">
        <v>797.4</v>
      </c>
      <c r="E109" t="s">
        <v>71</v>
      </c>
      <c r="F109" t="s">
        <v>72</v>
      </c>
    </row>
    <row r="110" spans="1:6" x14ac:dyDescent="0.25">
      <c r="A110" t="s">
        <v>79</v>
      </c>
      <c r="B110">
        <f>AVERAGE(B107:B109)</f>
        <v>341.13333333333338</v>
      </c>
      <c r="C110">
        <f>AVERAGE(C107:C109)</f>
        <v>380.26666666666665</v>
      </c>
      <c r="D110">
        <f>B110-C110</f>
        <v>-39.133333333333269</v>
      </c>
      <c r="E110">
        <f>D110-B113*C117</f>
        <v>-627.89482244121382</v>
      </c>
      <c r="F110">
        <f>D110+C117*B113</f>
        <v>549.62815577454717</v>
      </c>
    </row>
    <row r="111" spans="1:6" x14ac:dyDescent="0.25">
      <c r="A111" t="s">
        <v>81</v>
      </c>
      <c r="B111">
        <f>STDEV(B107:B109)</f>
        <v>320.60103451694181</v>
      </c>
      <c r="C111">
        <f>STDEV(C107:C109)</f>
        <v>369.05340173656896</v>
      </c>
    </row>
    <row r="113" spans="1:3" x14ac:dyDescent="0.25">
      <c r="A113" t="s">
        <v>87</v>
      </c>
      <c r="B113">
        <f>SQRT(B111^2/b+C111^2/b)</f>
        <v>282.24424214184108</v>
      </c>
    </row>
    <row r="114" spans="1:3" x14ac:dyDescent="0.25">
      <c r="A114" t="s">
        <v>88</v>
      </c>
      <c r="B114">
        <f>((B111^2/b+C111^2/b)^2)/((1/(b+1))*(B111^2/b)^2+(1/(b+1))*(C111^2/b))-2</f>
        <v>19.623519915895692</v>
      </c>
    </row>
    <row r="116" spans="1:3" x14ac:dyDescent="0.25">
      <c r="A116" t="s">
        <v>37</v>
      </c>
      <c r="C116" s="3">
        <v>0.95</v>
      </c>
    </row>
    <row r="117" spans="1:3" x14ac:dyDescent="0.25">
      <c r="A117" t="s">
        <v>90</v>
      </c>
      <c r="C117">
        <v>2.0859999999999999</v>
      </c>
    </row>
  </sheetData>
  <sortState ref="D50:D58">
    <sortCondition ref="D5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26</vt:i4>
      </vt:variant>
    </vt:vector>
  </HeadingPairs>
  <TitlesOfParts>
    <vt:vector size="29" baseType="lpstr">
      <vt:lpstr>Sheet1</vt:lpstr>
      <vt:lpstr>Sheet2</vt:lpstr>
      <vt:lpstr>Sheet3</vt:lpstr>
      <vt:lpstr>a</vt:lpstr>
      <vt:lpstr>a_1</vt:lpstr>
      <vt:lpstr>a_2</vt:lpstr>
      <vt:lpstr>a_3</vt:lpstr>
      <vt:lpstr>alpha</vt:lpstr>
      <vt:lpstr>b</vt:lpstr>
      <vt:lpstr>b_1</vt:lpstr>
      <vt:lpstr>b_2</vt:lpstr>
      <vt:lpstr>b_3</vt:lpstr>
      <vt:lpstr>mean_y</vt:lpstr>
      <vt:lpstr>msa</vt:lpstr>
      <vt:lpstr>msb</vt:lpstr>
      <vt:lpstr>mse</vt:lpstr>
      <vt:lpstr>n</vt:lpstr>
      <vt:lpstr>sa</vt:lpstr>
      <vt:lpstr>sb</vt:lpstr>
      <vt:lpstr>se</vt:lpstr>
      <vt:lpstr>sm</vt:lpstr>
      <vt:lpstr>ss0</vt:lpstr>
      <vt:lpstr>ssa</vt:lpstr>
      <vt:lpstr>ssb</vt:lpstr>
      <vt:lpstr>sse</vt:lpstr>
      <vt:lpstr>sst</vt:lpstr>
      <vt:lpstr>ssy</vt:lpstr>
      <vt:lpstr>t_975_3</vt:lpstr>
      <vt:lpstr>t_975_4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2020-11-23T19:22:57Z</dcterms:modified>
</cp:coreProperties>
</file>