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b_0">Sheet1!$C$46</definedName>
    <definedName name="b_0_max">Sheet1!$F$68</definedName>
    <definedName name="b_0_min">Sheet1!$E$68</definedName>
    <definedName name="b_1">Sheet1!$C$47</definedName>
    <definedName name="b_1_max">Sheet1!$F$69</definedName>
    <definedName name="b_1_min">Sheet1!$E$69</definedName>
    <definedName name="m">Sheet1!$D$96</definedName>
    <definedName name="mean_x">Sheet1!$C$43</definedName>
    <definedName name="mean_y">Sheet1!$D$43</definedName>
    <definedName name="n">Sheet1!$D$12</definedName>
    <definedName name="s_b_0">Sheet1!$D$62</definedName>
    <definedName name="s_b_1">Sheet1!$D$63</definedName>
    <definedName name="s_e">Sheet1!$D$60</definedName>
    <definedName name="ss0">Sheet1!$D$52</definedName>
    <definedName name="sse">Sheet1!$D$54</definedName>
    <definedName name="ssr">Sheet1!$D$55</definedName>
    <definedName name="sst">Sheet1!$D$53</definedName>
    <definedName name="ssy">Sheet1!$D$51</definedName>
    <definedName name="sum_x_x">Sheet1!$F$42</definedName>
    <definedName name="sum_x_y">Sheet1!$E$42</definedName>
    <definedName name="sum_y_y">Sheet1!$G$42</definedName>
    <definedName name="t_95_6">Sheet1!$D$76</definedName>
    <definedName name="x_p">Sheet1!$D$94</definedName>
  </definedNames>
  <calcPr calcId="125725"/>
</workbook>
</file>

<file path=xl/calcChain.xml><?xml version="1.0" encoding="utf-8"?>
<calcChain xmlns="http://schemas.openxmlformats.org/spreadsheetml/2006/main">
  <c r="D109" i="1"/>
  <c r="E75"/>
  <c r="E74"/>
  <c r="E73"/>
  <c r="E72"/>
  <c r="D75"/>
  <c r="D74"/>
  <c r="D73"/>
  <c r="D72"/>
  <c r="D36"/>
  <c r="D37"/>
  <c r="D38"/>
  <c r="D39"/>
  <c r="D40"/>
  <c r="D41"/>
  <c r="D35"/>
  <c r="D29"/>
  <c r="D30"/>
  <c r="D31"/>
  <c r="D32"/>
  <c r="D33"/>
  <c r="D34"/>
  <c r="D28"/>
  <c r="D22"/>
  <c r="D23"/>
  <c r="D24"/>
  <c r="D25"/>
  <c r="D26"/>
  <c r="D27"/>
  <c r="D21"/>
  <c r="D15"/>
  <c r="D16"/>
  <c r="D17"/>
  <c r="D18"/>
  <c r="D19"/>
  <c r="D20"/>
  <c r="D14"/>
  <c r="K6"/>
  <c r="K5"/>
  <c r="K4"/>
  <c r="K3"/>
  <c r="F4"/>
  <c r="F5"/>
  <c r="F6"/>
  <c r="F7"/>
  <c r="F8"/>
  <c r="F9"/>
  <c r="E4"/>
  <c r="E5"/>
  <c r="E6"/>
  <c r="E7"/>
  <c r="E8"/>
  <c r="E9"/>
  <c r="F3"/>
  <c r="E3"/>
  <c r="D4"/>
  <c r="D5"/>
  <c r="D6"/>
  <c r="D7"/>
  <c r="D8"/>
  <c r="D9"/>
  <c r="D3"/>
  <c r="C195"/>
  <c r="D195"/>
  <c r="E195" s="1"/>
  <c r="C196"/>
  <c r="D196"/>
  <c r="E196" s="1"/>
  <c r="C191"/>
  <c r="D191"/>
  <c r="E191" s="1"/>
  <c r="C192"/>
  <c r="D192"/>
  <c r="E192" s="1"/>
  <c r="C193"/>
  <c r="D193"/>
  <c r="E193" s="1"/>
  <c r="C194"/>
  <c r="D194"/>
  <c r="E194" s="1"/>
  <c r="C170"/>
  <c r="D170"/>
  <c r="E170" s="1"/>
  <c r="C171"/>
  <c r="D171"/>
  <c r="E171" s="1"/>
  <c r="C172"/>
  <c r="D172"/>
  <c r="E172" s="1"/>
  <c r="C173"/>
  <c r="D173"/>
  <c r="E173" s="1"/>
  <c r="C174"/>
  <c r="D174"/>
  <c r="E174" s="1"/>
  <c r="C175"/>
  <c r="D175"/>
  <c r="E175" s="1"/>
  <c r="C176"/>
  <c r="D176"/>
  <c r="E176" s="1"/>
  <c r="C177"/>
  <c r="D177"/>
  <c r="E177" s="1"/>
  <c r="C178"/>
  <c r="D178"/>
  <c r="E178" s="1"/>
  <c r="C179"/>
  <c r="D179"/>
  <c r="E179" s="1"/>
  <c r="C180"/>
  <c r="D180"/>
  <c r="E180" s="1"/>
  <c r="C181"/>
  <c r="D181"/>
  <c r="E181" s="1"/>
  <c r="C182"/>
  <c r="D182"/>
  <c r="E182" s="1"/>
  <c r="C183"/>
  <c r="D183"/>
  <c r="E183" s="1"/>
  <c r="C184"/>
  <c r="D184"/>
  <c r="E184" s="1"/>
  <c r="C185"/>
  <c r="D185"/>
  <c r="E185" s="1"/>
  <c r="C186"/>
  <c r="D186"/>
  <c r="E186" s="1"/>
  <c r="C187"/>
  <c r="D187"/>
  <c r="E187" s="1"/>
  <c r="C188"/>
  <c r="D188"/>
  <c r="E188" s="1"/>
  <c r="C189"/>
  <c r="D189"/>
  <c r="E189" s="1"/>
  <c r="C190"/>
  <c r="D190"/>
  <c r="E190" s="1"/>
  <c r="D169"/>
  <c r="E169" s="1"/>
  <c r="C169"/>
  <c r="E100" l="1"/>
  <c r="E99"/>
  <c r="G72"/>
  <c r="F72"/>
  <c r="G75"/>
  <c r="F74"/>
  <c r="F73"/>
  <c r="E66"/>
  <c r="E65"/>
  <c r="D44"/>
  <c r="C4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14"/>
  <c r="F42" s="1"/>
  <c r="C42"/>
  <c r="D42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14"/>
  <c r="D12"/>
  <c r="C43" s="1"/>
  <c r="E42" l="1"/>
  <c r="E43" s="1"/>
  <c r="G42"/>
  <c r="D51" s="1"/>
  <c r="F75"/>
  <c r="G74"/>
  <c r="G73"/>
  <c r="D43"/>
  <c r="D52" s="1"/>
  <c r="D53" l="1"/>
  <c r="C47"/>
  <c r="E48" s="1"/>
  <c r="C46" l="1"/>
  <c r="H20" s="1"/>
  <c r="C115" s="1"/>
  <c r="H34"/>
  <c r="H18"/>
  <c r="H19" l="1"/>
  <c r="H35"/>
  <c r="C130" s="1"/>
  <c r="D95"/>
  <c r="H28"/>
  <c r="C123" s="1"/>
  <c r="H29"/>
  <c r="H25"/>
  <c r="I25" s="1"/>
  <c r="H26"/>
  <c r="H14"/>
  <c r="I14" s="1"/>
  <c r="H27"/>
  <c r="H72"/>
  <c r="H73"/>
  <c r="C48"/>
  <c r="H24"/>
  <c r="I20"/>
  <c r="J20" s="1"/>
  <c r="H22"/>
  <c r="I22" s="1"/>
  <c r="H30"/>
  <c r="I30" s="1"/>
  <c r="H38"/>
  <c r="I38" s="1"/>
  <c r="H15"/>
  <c r="C110" s="1"/>
  <c r="H23"/>
  <c r="I23" s="1"/>
  <c r="H31"/>
  <c r="I31" s="1"/>
  <c r="H39"/>
  <c r="I39" s="1"/>
  <c r="H74"/>
  <c r="H75"/>
  <c r="H16"/>
  <c r="C111" s="1"/>
  <c r="H36"/>
  <c r="I36" s="1"/>
  <c r="H21"/>
  <c r="I21" s="1"/>
  <c r="H37"/>
  <c r="I37" s="1"/>
  <c r="H40"/>
  <c r="C135" s="1"/>
  <c r="H41"/>
  <c r="I41" s="1"/>
  <c r="H33"/>
  <c r="C128" s="1"/>
  <c r="H32"/>
  <c r="I32" s="1"/>
  <c r="J32" s="1"/>
  <c r="H17"/>
  <c r="I26"/>
  <c r="C121"/>
  <c r="I34"/>
  <c r="C129"/>
  <c r="I19"/>
  <c r="C114"/>
  <c r="I27"/>
  <c r="C122"/>
  <c r="I35"/>
  <c r="I28"/>
  <c r="I29"/>
  <c r="C124"/>
  <c r="I24"/>
  <c r="C119"/>
  <c r="C117"/>
  <c r="C125"/>
  <c r="C133"/>
  <c r="I15"/>
  <c r="C118"/>
  <c r="C126"/>
  <c r="C134"/>
  <c r="I16"/>
  <c r="C131"/>
  <c r="C116"/>
  <c r="C132"/>
  <c r="I40"/>
  <c r="C136"/>
  <c r="D115"/>
  <c r="I18"/>
  <c r="C113"/>
  <c r="C120"/>
  <c r="C109"/>
  <c r="D127" l="1"/>
  <c r="I33"/>
  <c r="C127"/>
  <c r="H42"/>
  <c r="C112"/>
  <c r="I17"/>
  <c r="I42" s="1"/>
  <c r="L4"/>
  <c r="L5"/>
  <c r="L3"/>
  <c r="L6"/>
  <c r="J14"/>
  <c r="J25"/>
  <c r="D120"/>
  <c r="J18"/>
  <c r="D113"/>
  <c r="J41"/>
  <c r="D136"/>
  <c r="J40"/>
  <c r="D135"/>
  <c r="J37"/>
  <c r="D132"/>
  <c r="J21"/>
  <c r="D116"/>
  <c r="J36"/>
  <c r="D131"/>
  <c r="J16"/>
  <c r="D111"/>
  <c r="J39"/>
  <c r="D134"/>
  <c r="J31"/>
  <c r="D126"/>
  <c r="J23"/>
  <c r="D118"/>
  <c r="J15"/>
  <c r="D110"/>
  <c r="J38"/>
  <c r="D133"/>
  <c r="J30"/>
  <c r="D125"/>
  <c r="J22"/>
  <c r="D117"/>
  <c r="J24"/>
  <c r="D119"/>
  <c r="J29"/>
  <c r="D124"/>
  <c r="J28"/>
  <c r="D123"/>
  <c r="J35"/>
  <c r="D130"/>
  <c r="J27"/>
  <c r="D122"/>
  <c r="J19"/>
  <c r="D114"/>
  <c r="J34"/>
  <c r="D129"/>
  <c r="J26"/>
  <c r="D121"/>
  <c r="D128" l="1"/>
  <c r="J33"/>
  <c r="J17"/>
  <c r="D112"/>
  <c r="J42" l="1"/>
  <c r="D54" s="1"/>
  <c r="D55" s="1"/>
  <c r="D57" s="1"/>
  <c r="D58" s="1"/>
  <c r="D60"/>
  <c r="D63" l="1"/>
  <c r="D62"/>
  <c r="E97"/>
  <c r="F102" s="1"/>
  <c r="E69" l="1"/>
  <c r="F69"/>
  <c r="E68"/>
  <c r="F68"/>
  <c r="E102"/>
  <c r="I75" l="1"/>
  <c r="I72"/>
  <c r="I73"/>
  <c r="I74"/>
  <c r="J72"/>
  <c r="J73"/>
  <c r="J75"/>
  <c r="J74"/>
</calcChain>
</file>

<file path=xl/sharedStrings.xml><?xml version="1.0" encoding="utf-8"?>
<sst xmlns="http://schemas.openxmlformats.org/spreadsheetml/2006/main" count="90" uniqueCount="75">
  <si>
    <t>problem 7</t>
  </si>
  <si>
    <t>Run</t>
  </si>
  <si>
    <t>1-repl</t>
  </si>
  <si>
    <t>2-repl</t>
  </si>
  <si>
    <t>3-repl</t>
  </si>
  <si>
    <t>4-repl</t>
  </si>
  <si>
    <t>A</t>
  </si>
  <si>
    <t>x</t>
  </si>
  <si>
    <t>mean</t>
  </si>
  <si>
    <t>n</t>
  </si>
  <si>
    <t>stdev</t>
  </si>
  <si>
    <t>sum</t>
  </si>
  <si>
    <t>b0</t>
  </si>
  <si>
    <t>b1</t>
  </si>
  <si>
    <t>y_hat =</t>
  </si>
  <si>
    <t>+</t>
  </si>
  <si>
    <t>yi</t>
  </si>
  <si>
    <t>xi</t>
  </si>
  <si>
    <t>xiyi</t>
  </si>
  <si>
    <t>xi^2</t>
  </si>
  <si>
    <t>yi_hat</t>
  </si>
  <si>
    <t>sst</t>
  </si>
  <si>
    <t>yi^2</t>
  </si>
  <si>
    <t>ssy</t>
  </si>
  <si>
    <t>ss0</t>
  </si>
  <si>
    <t>ei = yi - yi_hat</t>
  </si>
  <si>
    <t>ei^2</t>
  </si>
  <si>
    <t>sse</t>
  </si>
  <si>
    <t>ssr</t>
  </si>
  <si>
    <t>R^2</t>
  </si>
  <si>
    <t>B</t>
  </si>
  <si>
    <t>R(x,y)</t>
  </si>
  <si>
    <t>C</t>
  </si>
  <si>
    <t>D</t>
  </si>
  <si>
    <t>s_e</t>
  </si>
  <si>
    <t>E</t>
  </si>
  <si>
    <t>s_b0</t>
  </si>
  <si>
    <t>s_b1</t>
  </si>
  <si>
    <t>confidence interval</t>
  </si>
  <si>
    <t>alpha</t>
  </si>
  <si>
    <t>p</t>
  </si>
  <si>
    <t>significant at 95% confidence interval</t>
  </si>
  <si>
    <t>F</t>
  </si>
  <si>
    <t>replicas</t>
  </si>
  <si>
    <t>t[.95, 6]</t>
  </si>
  <si>
    <t>predicted max</t>
  </si>
  <si>
    <t>average run times</t>
  </si>
  <si>
    <t>predicted run times</t>
  </si>
  <si>
    <t>95% confidence interval</t>
  </si>
  <si>
    <t>G</t>
  </si>
  <si>
    <t>t[.95, 26]</t>
  </si>
  <si>
    <t>y_hat(5)</t>
  </si>
  <si>
    <t>s_prediction</t>
  </si>
  <si>
    <t>m</t>
  </si>
  <si>
    <t>x_p</t>
  </si>
  <si>
    <t>t[0.975, 26]</t>
  </si>
  <si>
    <t>mean from problem 6</t>
  </si>
  <si>
    <t>H</t>
  </si>
  <si>
    <t>yes</t>
  </si>
  <si>
    <t>I</t>
  </si>
  <si>
    <t>ei</t>
  </si>
  <si>
    <t>i</t>
  </si>
  <si>
    <t>no visiable trend</t>
  </si>
  <si>
    <t>no visible trends</t>
  </si>
  <si>
    <t>homoscedastic</t>
  </si>
  <si>
    <t>J</t>
  </si>
  <si>
    <t>run</t>
  </si>
  <si>
    <t>no visible trend</t>
  </si>
  <si>
    <t>K</t>
  </si>
  <si>
    <t>qi</t>
  </si>
  <si>
    <t>stdev(e)</t>
  </si>
  <si>
    <t>r1</t>
  </si>
  <si>
    <t>r2</t>
  </si>
  <si>
    <t>r3</t>
  </si>
  <si>
    <t>r4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</si>
</sst>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Sheet1!$D$71</c:f>
              <c:strCache>
                <c:ptCount val="1"/>
                <c:pt idx="0">
                  <c:v>average run times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plus>
              <c:numRef>
                <c:f>Sheet1!$G$72:$G$75</c:f>
                <c:numCache>
                  <c:formatCode>General</c:formatCode>
                  <c:ptCount val="4"/>
                  <c:pt idx="0">
                    <c:v>2.0651135913456152E-2</c:v>
                  </c:pt>
                  <c:pt idx="1">
                    <c:v>2.0651135913455982E-2</c:v>
                  </c:pt>
                  <c:pt idx="2">
                    <c:v>2.0651135913456162E-2</c:v>
                  </c:pt>
                  <c:pt idx="3">
                    <c:v>2.0651135913456208E-2</c:v>
                  </c:pt>
                </c:numCache>
              </c:numRef>
            </c:plus>
            <c:minus>
              <c:numRef>
                <c:f>Sheet1!$F$72:$F$75</c:f>
                <c:numCache>
                  <c:formatCode>General</c:formatCode>
                  <c:ptCount val="4"/>
                  <c:pt idx="0">
                    <c:v>2.0651135913456152E-2</c:v>
                  </c:pt>
                  <c:pt idx="1">
                    <c:v>2.0651135913455982E-2</c:v>
                  </c:pt>
                  <c:pt idx="2">
                    <c:v>2.0651135913456162E-2</c:v>
                  </c:pt>
                  <c:pt idx="3">
                    <c:v>2.0651135913456208E-2</c:v>
                  </c:pt>
                </c:numCache>
              </c:numRef>
            </c:minus>
          </c:errBars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Sheet1!$D$72:$D$75</c:f>
              <c:numCache>
                <c:formatCode>General</c:formatCode>
                <c:ptCount val="4"/>
                <c:pt idx="0">
                  <c:v>5.1126334461109639</c:v>
                </c:pt>
                <c:pt idx="1">
                  <c:v>5.5180985542191276</c:v>
                </c:pt>
                <c:pt idx="2">
                  <c:v>5.9235636623272923</c:v>
                </c:pt>
                <c:pt idx="3">
                  <c:v>6.3290287704354569</c:v>
                </c:pt>
              </c:numCache>
            </c:numRef>
          </c:yVal>
        </c:ser>
        <c:ser>
          <c:idx val="4"/>
          <c:order val="1"/>
          <c:tx>
            <c:strRef>
              <c:f>Sheet1!$H$71</c:f>
              <c:strCache>
                <c:ptCount val="1"/>
                <c:pt idx="0">
                  <c:v>predicted run times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Sheet1!$H$72:$H$75</c:f>
              <c:numCache>
                <c:formatCode>General</c:formatCode>
                <c:ptCount val="4"/>
                <c:pt idx="0">
                  <c:v>5.1126334461109657</c:v>
                </c:pt>
                <c:pt idx="1">
                  <c:v>5.5180985542191285</c:v>
                </c:pt>
                <c:pt idx="2">
                  <c:v>5.9235636623272923</c:v>
                </c:pt>
                <c:pt idx="3">
                  <c:v>6.329028770435456</c:v>
                </c:pt>
              </c:numCache>
            </c:numRef>
          </c:yVal>
        </c:ser>
        <c:ser>
          <c:idx val="5"/>
          <c:order val="2"/>
          <c:tx>
            <c:strRef>
              <c:f>Sheet1!$I$71</c:f>
              <c:strCache>
                <c:ptCount val="1"/>
                <c:pt idx="0">
                  <c:v>confidence interval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Sheet1!$I$72:$I$75</c:f>
              <c:numCache>
                <c:formatCode>General</c:formatCode>
                <c:ptCount val="4"/>
                <c:pt idx="0">
                  <c:v>5.0847608438347613</c:v>
                </c:pt>
                <c:pt idx="1">
                  <c:v>5.4827706192138432</c:v>
                </c:pt>
                <c:pt idx="2">
                  <c:v>5.8807803945929251</c:v>
                </c:pt>
                <c:pt idx="3">
                  <c:v>6.278790169972007</c:v>
                </c:pt>
              </c:numCache>
            </c:numRef>
          </c:yVal>
        </c:ser>
        <c:ser>
          <c:idx val="6"/>
          <c:order val="3"/>
          <c:tx>
            <c:strRef>
              <c:f>Sheet1!$J$71</c:f>
              <c:strCache>
                <c:ptCount val="1"/>
                <c:pt idx="0">
                  <c:v>predicted max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Sheet1!$J$72:$J$75</c:f>
              <c:numCache>
                <c:formatCode>General</c:formatCode>
                <c:ptCount val="4"/>
                <c:pt idx="0">
                  <c:v>5.1405060483871692</c:v>
                </c:pt>
                <c:pt idx="1">
                  <c:v>5.5534264892244147</c:v>
                </c:pt>
                <c:pt idx="2">
                  <c:v>5.9663469300616594</c:v>
                </c:pt>
                <c:pt idx="3">
                  <c:v>6.3792673708989041</c:v>
                </c:pt>
              </c:numCache>
            </c:numRef>
          </c:yVal>
        </c:ser>
        <c:axId val="71073792"/>
        <c:axId val="71076096"/>
      </c:scatterChart>
      <c:valAx>
        <c:axId val="71073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replicas</a:t>
                </a:r>
              </a:p>
            </c:rich>
          </c:tx>
          <c:layout/>
        </c:title>
        <c:numFmt formatCode="General" sourceLinked="1"/>
        <c:tickLblPos val="nextTo"/>
        <c:crossAx val="71076096"/>
        <c:crosses val="autoZero"/>
        <c:crossBetween val="midCat"/>
      </c:valAx>
      <c:valAx>
        <c:axId val="71076096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seconds</a:t>
                </a:r>
              </a:p>
            </c:rich>
          </c:tx>
          <c:layout/>
        </c:title>
        <c:numFmt formatCode="General" sourceLinked="1"/>
        <c:tickLblPos val="nextTo"/>
        <c:crossAx val="71073792"/>
        <c:crosses val="autoZero"/>
        <c:crossBetween val="midCat"/>
      </c:valAx>
    </c:plotArea>
    <c:legend>
      <c:legendPos val="r"/>
      <c:legendEntry>
        <c:idx val="3"/>
        <c:delete val="1"/>
      </c:legendEntry>
      <c:layout/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Sheet1!$D$108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Sheet1!$C$109:$C$136</c:f>
              <c:numCache>
                <c:formatCode>General</c:formatCode>
                <c:ptCount val="28"/>
                <c:pt idx="0">
                  <c:v>5.1126334461109657</c:v>
                </c:pt>
                <c:pt idx="1">
                  <c:v>5.1126334461109657</c:v>
                </c:pt>
                <c:pt idx="2">
                  <c:v>5.1126334461109657</c:v>
                </c:pt>
                <c:pt idx="3">
                  <c:v>5.1126334461109657</c:v>
                </c:pt>
                <c:pt idx="4">
                  <c:v>5.1126334461109657</c:v>
                </c:pt>
                <c:pt idx="5">
                  <c:v>5.1126334461109657</c:v>
                </c:pt>
                <c:pt idx="6">
                  <c:v>5.1126334461109657</c:v>
                </c:pt>
                <c:pt idx="7">
                  <c:v>5.5180985542191285</c:v>
                </c:pt>
                <c:pt idx="8">
                  <c:v>5.5180985542191285</c:v>
                </c:pt>
                <c:pt idx="9">
                  <c:v>5.5180985542191285</c:v>
                </c:pt>
                <c:pt idx="10">
                  <c:v>5.5180985542191285</c:v>
                </c:pt>
                <c:pt idx="11">
                  <c:v>5.5180985542191285</c:v>
                </c:pt>
                <c:pt idx="12">
                  <c:v>5.5180985542191285</c:v>
                </c:pt>
                <c:pt idx="13">
                  <c:v>5.5180985542191285</c:v>
                </c:pt>
                <c:pt idx="14">
                  <c:v>5.9235636623272923</c:v>
                </c:pt>
                <c:pt idx="15">
                  <c:v>5.9235636623272923</c:v>
                </c:pt>
                <c:pt idx="16">
                  <c:v>5.9235636623272923</c:v>
                </c:pt>
                <c:pt idx="17">
                  <c:v>5.9235636623272923</c:v>
                </c:pt>
                <c:pt idx="18">
                  <c:v>5.9235636623272923</c:v>
                </c:pt>
                <c:pt idx="19">
                  <c:v>5.9235636623272923</c:v>
                </c:pt>
                <c:pt idx="20">
                  <c:v>5.9235636623272923</c:v>
                </c:pt>
                <c:pt idx="21">
                  <c:v>6.329028770435456</c:v>
                </c:pt>
                <c:pt idx="22">
                  <c:v>6.329028770435456</c:v>
                </c:pt>
                <c:pt idx="23">
                  <c:v>6.329028770435456</c:v>
                </c:pt>
                <c:pt idx="24">
                  <c:v>6.329028770435456</c:v>
                </c:pt>
                <c:pt idx="25">
                  <c:v>6.329028770435456</c:v>
                </c:pt>
                <c:pt idx="26">
                  <c:v>6.329028770435456</c:v>
                </c:pt>
                <c:pt idx="27">
                  <c:v>6.329028770435456</c:v>
                </c:pt>
              </c:numCache>
            </c:numRef>
          </c:xVal>
          <c:yVal>
            <c:numRef>
              <c:f>Sheet1!$D$109:$D$136</c:f>
              <c:numCache>
                <c:formatCode>General</c:formatCode>
                <c:ptCount val="28"/>
                <c:pt idx="0">
                  <c:v>4.1620438136806825E-3</c:v>
                </c:pt>
                <c:pt idx="1">
                  <c:v>-1.2767018286766962E-2</c:v>
                </c:pt>
                <c:pt idx="2">
                  <c:v>8.3499051541551239E-3</c:v>
                </c:pt>
                <c:pt idx="3">
                  <c:v>3.5623436457825619E-3</c:v>
                </c:pt>
                <c:pt idx="4">
                  <c:v>-2.9367460979802473E-2</c:v>
                </c:pt>
                <c:pt idx="5">
                  <c:v>4.0658148386813586E-2</c:v>
                </c:pt>
                <c:pt idx="6">
                  <c:v>-1.459796173387673E-2</c:v>
                </c:pt>
                <c:pt idx="7">
                  <c:v>4.1620438136824589E-3</c:v>
                </c:pt>
                <c:pt idx="8">
                  <c:v>-1.2767018286766074E-2</c:v>
                </c:pt>
                <c:pt idx="9">
                  <c:v>8.3499051541569003E-3</c:v>
                </c:pt>
                <c:pt idx="10">
                  <c:v>3.5623436457843383E-3</c:v>
                </c:pt>
                <c:pt idx="11">
                  <c:v>-2.9367460979800697E-2</c:v>
                </c:pt>
                <c:pt idx="12">
                  <c:v>4.0658148386814474E-2</c:v>
                </c:pt>
                <c:pt idx="13">
                  <c:v>-1.4597961733874953E-2</c:v>
                </c:pt>
                <c:pt idx="14">
                  <c:v>4.1620438136833471E-3</c:v>
                </c:pt>
                <c:pt idx="15">
                  <c:v>-1.2767018286765186E-2</c:v>
                </c:pt>
                <c:pt idx="16">
                  <c:v>8.3499051541577884E-3</c:v>
                </c:pt>
                <c:pt idx="17">
                  <c:v>3.5623436457852264E-3</c:v>
                </c:pt>
                <c:pt idx="18">
                  <c:v>-2.9367460979800697E-2</c:v>
                </c:pt>
                <c:pt idx="19">
                  <c:v>4.0658148386815363E-2</c:v>
                </c:pt>
                <c:pt idx="20">
                  <c:v>-1.4597961733874065E-2</c:v>
                </c:pt>
                <c:pt idx="21">
                  <c:v>4.1620438136833471E-3</c:v>
                </c:pt>
                <c:pt idx="22">
                  <c:v>-1.2767018286764298E-2</c:v>
                </c:pt>
                <c:pt idx="23">
                  <c:v>8.3499051541586766E-3</c:v>
                </c:pt>
                <c:pt idx="24">
                  <c:v>3.5623436457852264E-3</c:v>
                </c:pt>
                <c:pt idx="25">
                  <c:v>-2.9367460979799809E-2</c:v>
                </c:pt>
                <c:pt idx="26">
                  <c:v>4.0658148386816251E-2</c:v>
                </c:pt>
                <c:pt idx="27">
                  <c:v>-1.4597961733874065E-2</c:v>
                </c:pt>
              </c:numCache>
            </c:numRef>
          </c:yVal>
        </c:ser>
        <c:axId val="71100672"/>
        <c:axId val="70848896"/>
      </c:scatterChart>
      <c:valAx>
        <c:axId val="7110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run times (seconds)</a:t>
                </a:r>
              </a:p>
            </c:rich>
          </c:tx>
          <c:layout/>
        </c:title>
        <c:numFmt formatCode="General" sourceLinked="1"/>
        <c:tickLblPos val="nextTo"/>
        <c:crossAx val="70848896"/>
        <c:crosses val="autoZero"/>
        <c:crossBetween val="midCat"/>
      </c:valAx>
      <c:valAx>
        <c:axId val="7084889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layout/>
        </c:title>
        <c:numFmt formatCode="General" sourceLinked="1"/>
        <c:tickLblPos val="nextTo"/>
        <c:crossAx val="71100672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Sheet1!$D$138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Sheet1!$C$139:$C$166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Sheet1!$D$139:$D$166</c:f>
              <c:numCache>
                <c:formatCode>General</c:formatCode>
                <c:ptCount val="28"/>
                <c:pt idx="0">
                  <c:v>4.1620438136806825E-3</c:v>
                </c:pt>
                <c:pt idx="1">
                  <c:v>-1.2767018286766962E-2</c:v>
                </c:pt>
                <c:pt idx="2">
                  <c:v>8.3499051541551239E-3</c:v>
                </c:pt>
                <c:pt idx="3">
                  <c:v>3.5623436457825619E-3</c:v>
                </c:pt>
                <c:pt idx="4">
                  <c:v>-2.9367460979802473E-2</c:v>
                </c:pt>
                <c:pt idx="5">
                  <c:v>4.0658148386813586E-2</c:v>
                </c:pt>
                <c:pt idx="6">
                  <c:v>-1.459796173387673E-2</c:v>
                </c:pt>
                <c:pt idx="7">
                  <c:v>4.1620438136824589E-3</c:v>
                </c:pt>
                <c:pt idx="8">
                  <c:v>-1.2767018286766074E-2</c:v>
                </c:pt>
                <c:pt idx="9">
                  <c:v>8.3499051541569003E-3</c:v>
                </c:pt>
                <c:pt idx="10">
                  <c:v>3.5623436457843383E-3</c:v>
                </c:pt>
                <c:pt idx="11">
                  <c:v>-2.9367460979800697E-2</c:v>
                </c:pt>
                <c:pt idx="12">
                  <c:v>4.0658148386814474E-2</c:v>
                </c:pt>
                <c:pt idx="13">
                  <c:v>-1.4597961733874953E-2</c:v>
                </c:pt>
                <c:pt idx="14">
                  <c:v>4.1620438136833471E-3</c:v>
                </c:pt>
                <c:pt idx="15">
                  <c:v>-1.2767018286765186E-2</c:v>
                </c:pt>
                <c:pt idx="16">
                  <c:v>8.3499051541577884E-3</c:v>
                </c:pt>
                <c:pt idx="17">
                  <c:v>3.5623436457852264E-3</c:v>
                </c:pt>
                <c:pt idx="18">
                  <c:v>-2.9367460979800697E-2</c:v>
                </c:pt>
                <c:pt idx="19">
                  <c:v>4.0658148386815363E-2</c:v>
                </c:pt>
                <c:pt idx="20">
                  <c:v>-1.4597961733874065E-2</c:v>
                </c:pt>
                <c:pt idx="21">
                  <c:v>4.1620438136833471E-3</c:v>
                </c:pt>
                <c:pt idx="22">
                  <c:v>-1.2767018286764298E-2</c:v>
                </c:pt>
                <c:pt idx="23">
                  <c:v>8.3499051541586766E-3</c:v>
                </c:pt>
                <c:pt idx="24">
                  <c:v>3.5623436457852264E-3</c:v>
                </c:pt>
                <c:pt idx="25">
                  <c:v>-2.9367460979799809E-2</c:v>
                </c:pt>
                <c:pt idx="26">
                  <c:v>4.0658148386816251E-2</c:v>
                </c:pt>
                <c:pt idx="27">
                  <c:v>-1.4597961733874065E-2</c:v>
                </c:pt>
              </c:numCache>
            </c:numRef>
          </c:yVal>
        </c:ser>
        <c:axId val="70864896"/>
        <c:axId val="70866816"/>
      </c:scatterChart>
      <c:valAx>
        <c:axId val="70864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run number</a:t>
                </a:r>
              </a:p>
            </c:rich>
          </c:tx>
          <c:layout/>
        </c:title>
        <c:numFmt formatCode="General" sourceLinked="1"/>
        <c:tickLblPos val="nextTo"/>
        <c:crossAx val="70866816"/>
        <c:crosses val="autoZero"/>
        <c:crossBetween val="midCat"/>
        <c:majorUnit val="7"/>
      </c:valAx>
      <c:valAx>
        <c:axId val="7086681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layout/>
        </c:title>
        <c:numFmt formatCode="General" sourceLinked="1"/>
        <c:tickLblPos val="nextTo"/>
        <c:crossAx val="7086489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Sheet1!$F$168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Sheet1!$E$169:$E$196</c:f>
              <c:numCache>
                <c:formatCode>General</c:formatCode>
                <c:ptCount val="28"/>
                <c:pt idx="0">
                  <c:v>-2.1029298595768426</c:v>
                </c:pt>
                <c:pt idx="1">
                  <c:v>-1.6129388152332291</c:v>
                </c:pt>
                <c:pt idx="2">
                  <c:v>-1.3451384553636758</c:v>
                </c:pt>
                <c:pt idx="3">
                  <c:v>-1.1492082681575793</c:v>
                </c:pt>
                <c:pt idx="4">
                  <c:v>-0.9897562448052486</c:v>
                </c:pt>
                <c:pt idx="5">
                  <c:v>-0.85237061887558319</c:v>
                </c:pt>
                <c:pt idx="6">
                  <c:v>-0.72964511959053457</c:v>
                </c:pt>
                <c:pt idx="7">
                  <c:v>-0.61721223071782261</c:v>
                </c:pt>
                <c:pt idx="8">
                  <c:v>-0.51224056203097013</c:v>
                </c:pt>
                <c:pt idx="9">
                  <c:v>-0.4127566090253984</c:v>
                </c:pt>
                <c:pt idx="10">
                  <c:v>-0.31729887872592571</c:v>
                </c:pt>
                <c:pt idx="11">
                  <c:v>-0.22472407885547394</c:v>
                </c:pt>
                <c:pt idx="12">
                  <c:v>-0.13408929904188591</c:v>
                </c:pt>
                <c:pt idx="13">
                  <c:v>-4.4574353601653953E-2</c:v>
                </c:pt>
                <c:pt idx="14">
                  <c:v>4.4574353601654494E-2</c:v>
                </c:pt>
                <c:pt idx="15">
                  <c:v>0.13408929904188646</c:v>
                </c:pt>
                <c:pt idx="16">
                  <c:v>0.22472407885547394</c:v>
                </c:pt>
                <c:pt idx="17">
                  <c:v>0.31729887872592571</c:v>
                </c:pt>
                <c:pt idx="18">
                  <c:v>0.4127566090253984</c:v>
                </c:pt>
                <c:pt idx="19">
                  <c:v>0.51224056203096957</c:v>
                </c:pt>
                <c:pt idx="20">
                  <c:v>0.61721223071782261</c:v>
                </c:pt>
                <c:pt idx="21">
                  <c:v>0.72964511959053457</c:v>
                </c:pt>
                <c:pt idx="22">
                  <c:v>0.85237061887558319</c:v>
                </c:pt>
                <c:pt idx="23">
                  <c:v>0.9897562448052486</c:v>
                </c:pt>
                <c:pt idx="24">
                  <c:v>1.1492082681575793</c:v>
                </c:pt>
                <c:pt idx="25">
                  <c:v>1.3451384553636758</c:v>
                </c:pt>
                <c:pt idx="26">
                  <c:v>1.6129388152332291</c:v>
                </c:pt>
                <c:pt idx="27">
                  <c:v>2.1029298595768422</c:v>
                </c:pt>
              </c:numCache>
            </c:numRef>
          </c:xVal>
          <c:yVal>
            <c:numRef>
              <c:f>Sheet1!$F$169:$F$196</c:f>
              <c:numCache>
                <c:formatCode>General</c:formatCode>
                <c:ptCount val="28"/>
                <c:pt idx="0">
                  <c:v>-2.9367460979802473E-2</c:v>
                </c:pt>
                <c:pt idx="1">
                  <c:v>-2.9367460979800697E-2</c:v>
                </c:pt>
                <c:pt idx="2">
                  <c:v>-2.9367460979800697E-2</c:v>
                </c:pt>
                <c:pt idx="3">
                  <c:v>-2.9367460979799809E-2</c:v>
                </c:pt>
                <c:pt idx="4">
                  <c:v>-1.459796173387673E-2</c:v>
                </c:pt>
                <c:pt idx="5">
                  <c:v>-1.4597961733874953E-2</c:v>
                </c:pt>
                <c:pt idx="6">
                  <c:v>-1.4597961733874065E-2</c:v>
                </c:pt>
                <c:pt idx="7">
                  <c:v>-1.4597961733874065E-2</c:v>
                </c:pt>
                <c:pt idx="8">
                  <c:v>-1.2767018286766962E-2</c:v>
                </c:pt>
                <c:pt idx="9">
                  <c:v>-1.2767018286766074E-2</c:v>
                </c:pt>
                <c:pt idx="10">
                  <c:v>-1.2767018286765186E-2</c:v>
                </c:pt>
                <c:pt idx="11">
                  <c:v>-1.2767018286764298E-2</c:v>
                </c:pt>
                <c:pt idx="12">
                  <c:v>-1.0658141036401503E-14</c:v>
                </c:pt>
                <c:pt idx="13">
                  <c:v>3.5623436457825619E-3</c:v>
                </c:pt>
                <c:pt idx="14">
                  <c:v>3.5623436457843383E-3</c:v>
                </c:pt>
                <c:pt idx="15">
                  <c:v>3.5623436457852264E-3</c:v>
                </c:pt>
                <c:pt idx="16">
                  <c:v>3.5623436457852264E-3</c:v>
                </c:pt>
                <c:pt idx="17">
                  <c:v>4.1620438136806825E-3</c:v>
                </c:pt>
                <c:pt idx="18">
                  <c:v>4.1620438136824589E-3</c:v>
                </c:pt>
                <c:pt idx="19">
                  <c:v>4.1620438136833471E-3</c:v>
                </c:pt>
                <c:pt idx="20">
                  <c:v>4.1620438136833471E-3</c:v>
                </c:pt>
                <c:pt idx="21">
                  <c:v>8.3499051541551239E-3</c:v>
                </c:pt>
                <c:pt idx="22">
                  <c:v>8.3499051541569003E-3</c:v>
                </c:pt>
                <c:pt idx="23">
                  <c:v>8.3499051541577884E-3</c:v>
                </c:pt>
                <c:pt idx="24">
                  <c:v>8.3499051541586766E-3</c:v>
                </c:pt>
                <c:pt idx="25">
                  <c:v>4.0658148386813586E-2</c:v>
                </c:pt>
                <c:pt idx="26">
                  <c:v>4.0658148386814474E-2</c:v>
                </c:pt>
                <c:pt idx="27">
                  <c:v>4.0658148386815363E-2</c:v>
                </c:pt>
              </c:numCache>
            </c:numRef>
          </c:yVal>
        </c:ser>
        <c:axId val="71505792"/>
        <c:axId val="71516160"/>
      </c:scatterChart>
      <c:valAx>
        <c:axId val="7150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</a:t>
                </a:r>
                <a:r>
                  <a:rPr lang="en-US" baseline="0"/>
                  <a:t> quantiles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516160"/>
        <c:crosses val="autoZero"/>
        <c:crossBetween val="midCat"/>
      </c:valAx>
      <c:valAx>
        <c:axId val="7151616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observed error</a:t>
                </a:r>
                <a:r>
                  <a:rPr lang="en-US" baseline="0"/>
                  <a:t> quantiles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50579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Sheet1!$L$2</c:f>
              <c:strCache>
                <c:ptCount val="1"/>
                <c:pt idx="0">
                  <c:v>stdev(e)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Sheet1!$K$3:$K$6</c:f>
              <c:numCache>
                <c:formatCode>General</c:formatCode>
                <c:ptCount val="4"/>
                <c:pt idx="0">
                  <c:v>166.14285714285714</c:v>
                </c:pt>
                <c:pt idx="1">
                  <c:v>249.21428571428572</c:v>
                </c:pt>
                <c:pt idx="2">
                  <c:v>373.82142857142856</c:v>
                </c:pt>
                <c:pt idx="3">
                  <c:v>560.73214285714289</c:v>
                </c:pt>
              </c:numCache>
            </c:numRef>
          </c:xVal>
          <c:yVal>
            <c:numRef>
              <c:f>Sheet1!$L$3:$L$6</c:f>
              <c:numCache>
                <c:formatCode>General</c:formatCode>
                <c:ptCount val="4"/>
                <c:pt idx="0">
                  <c:v>2.2328471564364391E-2</c:v>
                </c:pt>
                <c:pt idx="1">
                  <c:v>2.2328471564364207E-2</c:v>
                </c:pt>
                <c:pt idx="2">
                  <c:v>2.2328471564364401E-2</c:v>
                </c:pt>
                <c:pt idx="3">
                  <c:v>2.232847156436445E-2</c:v>
                </c:pt>
              </c:numCache>
            </c:numRef>
          </c:yVal>
        </c:ser>
        <c:axId val="71540736"/>
        <c:axId val="71542656"/>
      </c:scatterChart>
      <c:valAx>
        <c:axId val="7154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run time for each replica</a:t>
                </a:r>
              </a:p>
            </c:rich>
          </c:tx>
          <c:layout/>
        </c:title>
        <c:numFmt formatCode="General" sourceLinked="1"/>
        <c:tickLblPos val="nextTo"/>
        <c:crossAx val="71542656"/>
        <c:crosses val="autoZero"/>
        <c:crossBetween val="midCat"/>
      </c:valAx>
      <c:valAx>
        <c:axId val="7154265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stdev of errors for each replica</a:t>
                </a:r>
              </a:p>
            </c:rich>
          </c:tx>
          <c:layout/>
        </c:title>
        <c:numFmt formatCode="General" sourceLinked="1"/>
        <c:tickLblPos val="nextTo"/>
        <c:crossAx val="7154073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76</xdr:row>
      <xdr:rowOff>171450</xdr:rowOff>
    </xdr:from>
    <xdr:to>
      <xdr:col>9</xdr:col>
      <xdr:colOff>552450</xdr:colOff>
      <xdr:row>91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110</xdr:row>
      <xdr:rowOff>0</xdr:rowOff>
    </xdr:from>
    <xdr:to>
      <xdr:col>12</xdr:col>
      <xdr:colOff>57150</xdr:colOff>
      <xdr:row>124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138</xdr:row>
      <xdr:rowOff>171450</xdr:rowOff>
    </xdr:from>
    <xdr:to>
      <xdr:col>13</xdr:col>
      <xdr:colOff>314325</xdr:colOff>
      <xdr:row>153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371475</xdr:colOff>
      <xdr:row>171</xdr:row>
      <xdr:rowOff>19050</xdr:rowOff>
    </xdr:from>
    <xdr:to>
      <xdr:col>17</xdr:col>
      <xdr:colOff>66675</xdr:colOff>
      <xdr:row>185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219075</xdr:colOff>
      <xdr:row>1</xdr:row>
      <xdr:rowOff>0</xdr:rowOff>
    </xdr:from>
    <xdr:to>
      <xdr:col>19</xdr:col>
      <xdr:colOff>523875</xdr:colOff>
      <xdr:row>15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selection activeCell="F3" sqref="F3"/>
    </sheetView>
  </sheetViews>
  <sheetFormatPr defaultRowHeight="15"/>
  <sheetData>
    <row r="1" spans="1:12">
      <c r="A1" t="s">
        <v>0</v>
      </c>
    </row>
    <row r="2" spans="1:12">
      <c r="B2" t="s">
        <v>1</v>
      </c>
      <c r="C2" t="s">
        <v>2</v>
      </c>
      <c r="D2" t="s">
        <v>3</v>
      </c>
      <c r="E2" t="s">
        <v>4</v>
      </c>
      <c r="F2" t="s">
        <v>5</v>
      </c>
      <c r="K2" t="s">
        <v>8</v>
      </c>
      <c r="L2" t="s">
        <v>70</v>
      </c>
    </row>
    <row r="3" spans="1:12">
      <c r="B3">
        <v>1</v>
      </c>
      <c r="C3">
        <v>166.8</v>
      </c>
      <c r="D3">
        <f>C3*1.5</f>
        <v>250.20000000000002</v>
      </c>
      <c r="E3">
        <f>D3*1.5</f>
        <v>375.3</v>
      </c>
      <c r="F3">
        <f>E3*1.5</f>
        <v>562.95000000000005</v>
      </c>
      <c r="J3" t="s">
        <v>71</v>
      </c>
      <c r="K3">
        <f>AVERAGE(C3:C9)</f>
        <v>166.14285714285714</v>
      </c>
      <c r="L3">
        <f>STDEV(I14:I20)</f>
        <v>2.2328471564364391E-2</v>
      </c>
    </row>
    <row r="4" spans="1:12">
      <c r="B4">
        <v>2</v>
      </c>
      <c r="C4">
        <v>164</v>
      </c>
      <c r="D4">
        <f t="shared" ref="D4:F9" si="0">C4*1.5</f>
        <v>246</v>
      </c>
      <c r="E4">
        <f t="shared" si="0"/>
        <v>369</v>
      </c>
      <c r="F4">
        <f t="shared" si="0"/>
        <v>553.5</v>
      </c>
      <c r="J4" t="s">
        <v>72</v>
      </c>
      <c r="K4">
        <f>AVERAGE(D3:D9)</f>
        <v>249.21428571428572</v>
      </c>
      <c r="L4">
        <f>STDEV(I21:I27)</f>
        <v>2.2328471564364207E-2</v>
      </c>
    </row>
    <row r="5" spans="1:12">
      <c r="B5">
        <v>3</v>
      </c>
      <c r="C5">
        <v>167.5</v>
      </c>
      <c r="D5">
        <f t="shared" si="0"/>
        <v>251.25</v>
      </c>
      <c r="E5">
        <f t="shared" si="0"/>
        <v>376.875</v>
      </c>
      <c r="F5">
        <f t="shared" si="0"/>
        <v>565.3125</v>
      </c>
      <c r="J5" t="s">
        <v>73</v>
      </c>
      <c r="K5">
        <f>AVERAGE(E3:E9)</f>
        <v>373.82142857142856</v>
      </c>
      <c r="L5">
        <f>STDEV(I28:I34)</f>
        <v>2.2328471564364401E-2</v>
      </c>
    </row>
    <row r="6" spans="1:12">
      <c r="B6">
        <v>4</v>
      </c>
      <c r="C6">
        <v>166.7</v>
      </c>
      <c r="D6">
        <f t="shared" si="0"/>
        <v>250.04999999999998</v>
      </c>
      <c r="E6">
        <f t="shared" si="0"/>
        <v>375.07499999999999</v>
      </c>
      <c r="F6">
        <f t="shared" si="0"/>
        <v>562.61249999999995</v>
      </c>
      <c r="J6" t="s">
        <v>74</v>
      </c>
      <c r="K6">
        <f>AVERAGE(F3:F9)</f>
        <v>560.73214285714289</v>
      </c>
      <c r="L6">
        <f>STDEV(I35:I41)</f>
        <v>2.232847156436445E-2</v>
      </c>
    </row>
    <row r="7" spans="1:12">
      <c r="B7">
        <v>5</v>
      </c>
      <c r="C7">
        <v>161.30000000000001</v>
      </c>
      <c r="D7">
        <f t="shared" si="0"/>
        <v>241.95000000000002</v>
      </c>
      <c r="E7">
        <f t="shared" si="0"/>
        <v>362.92500000000001</v>
      </c>
      <c r="F7">
        <f t="shared" si="0"/>
        <v>544.38750000000005</v>
      </c>
    </row>
    <row r="8" spans="1:12">
      <c r="B8">
        <v>6</v>
      </c>
      <c r="C8">
        <v>173</v>
      </c>
      <c r="D8">
        <f t="shared" si="0"/>
        <v>259.5</v>
      </c>
      <c r="E8">
        <f t="shared" si="0"/>
        <v>389.25</v>
      </c>
      <c r="F8">
        <f t="shared" si="0"/>
        <v>583.875</v>
      </c>
    </row>
    <row r="9" spans="1:12">
      <c r="B9">
        <v>7</v>
      </c>
      <c r="C9">
        <v>163.69999999999999</v>
      </c>
      <c r="D9">
        <f t="shared" si="0"/>
        <v>245.54999999999998</v>
      </c>
      <c r="E9">
        <f t="shared" si="0"/>
        <v>368.32499999999999</v>
      </c>
      <c r="F9">
        <f t="shared" si="0"/>
        <v>552.48749999999995</v>
      </c>
    </row>
    <row r="11" spans="1:12">
      <c r="B11" t="s">
        <v>6</v>
      </c>
    </row>
    <row r="12" spans="1:12">
      <c r="C12" t="s">
        <v>9</v>
      </c>
      <c r="D12">
        <f>COUNT(C14:C41)</f>
        <v>28</v>
      </c>
    </row>
    <row r="13" spans="1:12">
      <c r="C13" t="s">
        <v>17</v>
      </c>
      <c r="D13" t="s">
        <v>16</v>
      </c>
      <c r="E13" t="s">
        <v>18</v>
      </c>
      <c r="F13" t="s">
        <v>19</v>
      </c>
      <c r="G13" t="s">
        <v>22</v>
      </c>
      <c r="H13" t="s">
        <v>20</v>
      </c>
      <c r="I13" t="s">
        <v>25</v>
      </c>
      <c r="J13" t="s">
        <v>26</v>
      </c>
    </row>
    <row r="14" spans="1:12">
      <c r="C14">
        <v>1</v>
      </c>
      <c r="D14">
        <f>LN(C3)</f>
        <v>5.1167954899246464</v>
      </c>
      <c r="E14">
        <f>C14*D14</f>
        <v>5.1167954899246464</v>
      </c>
      <c r="F14">
        <f>C14^2</f>
        <v>1</v>
      </c>
      <c r="G14">
        <f>D14^2</f>
        <v>26.181596085713203</v>
      </c>
      <c r="H14">
        <f t="shared" ref="H14:H41" si="1">b_0+b_1*C14</f>
        <v>5.1126334461109657</v>
      </c>
      <c r="I14">
        <f>D14-H14</f>
        <v>4.1620438136806825E-3</v>
      </c>
      <c r="J14">
        <f>I14^2</f>
        <v>1.732260870699764E-5</v>
      </c>
    </row>
    <row r="15" spans="1:12">
      <c r="C15">
        <v>1</v>
      </c>
      <c r="D15">
        <f t="shared" ref="D15:D20" si="2">LN(C4)</f>
        <v>5.0998664278241987</v>
      </c>
      <c r="E15">
        <f t="shared" ref="E15:E41" si="3">C15*D15</f>
        <v>5.0998664278241987</v>
      </c>
      <c r="F15">
        <f t="shared" ref="F15:F41" si="4">C15^2</f>
        <v>1</v>
      </c>
      <c r="G15">
        <f t="shared" ref="G15:G41" si="5">D15^2</f>
        <v>26.008637581648355</v>
      </c>
      <c r="H15">
        <f t="shared" si="1"/>
        <v>5.1126334461109657</v>
      </c>
      <c r="I15">
        <f t="shared" ref="I15:I41" si="6">D15-H15</f>
        <v>-1.2767018286766962E-2</v>
      </c>
      <c r="J15">
        <f t="shared" ref="J15:J41" si="7">I15^2</f>
        <v>1.6299675593464203E-4</v>
      </c>
    </row>
    <row r="16" spans="1:12">
      <c r="C16">
        <v>1</v>
      </c>
      <c r="D16">
        <f t="shared" si="2"/>
        <v>5.1209833512651208</v>
      </c>
      <c r="E16">
        <f t="shared" si="3"/>
        <v>5.1209833512651208</v>
      </c>
      <c r="F16">
        <f t="shared" si="4"/>
        <v>1</v>
      </c>
      <c r="G16">
        <f t="shared" si="5"/>
        <v>26.224470483934549</v>
      </c>
      <c r="H16">
        <f t="shared" si="1"/>
        <v>5.1126334461109657</v>
      </c>
      <c r="I16">
        <f t="shared" si="6"/>
        <v>8.3499051541551239E-3</v>
      </c>
      <c r="J16">
        <f t="shared" si="7"/>
        <v>6.9720916083386303E-5</v>
      </c>
    </row>
    <row r="17" spans="3:10">
      <c r="C17">
        <v>1</v>
      </c>
      <c r="D17">
        <f t="shared" si="2"/>
        <v>5.1161957897567483</v>
      </c>
      <c r="E17">
        <f t="shared" si="3"/>
        <v>5.1161957897567483</v>
      </c>
      <c r="F17">
        <f t="shared" si="4"/>
        <v>1</v>
      </c>
      <c r="G17">
        <f t="shared" si="5"/>
        <v>26.175459359124677</v>
      </c>
      <c r="H17">
        <f t="shared" si="1"/>
        <v>5.1126334461109657</v>
      </c>
      <c r="I17">
        <f t="shared" si="6"/>
        <v>3.5623436457825619E-3</v>
      </c>
      <c r="J17">
        <f t="shared" si="7"/>
        <v>1.2690292250647396E-5</v>
      </c>
    </row>
    <row r="18" spans="3:10">
      <c r="C18">
        <v>1</v>
      </c>
      <c r="D18">
        <f t="shared" si="2"/>
        <v>5.0832659851311632</v>
      </c>
      <c r="E18">
        <f t="shared" si="3"/>
        <v>5.0832659851311632</v>
      </c>
      <c r="F18">
        <f t="shared" si="4"/>
        <v>1</v>
      </c>
      <c r="G18">
        <f t="shared" si="5"/>
        <v>25.839593075591495</v>
      </c>
      <c r="H18">
        <f t="shared" si="1"/>
        <v>5.1126334461109657</v>
      </c>
      <c r="I18">
        <f t="shared" si="6"/>
        <v>-2.9367460979802473E-2</v>
      </c>
      <c r="J18">
        <f t="shared" si="7"/>
        <v>8.6244776440022087E-4</v>
      </c>
    </row>
    <row r="19" spans="3:10">
      <c r="C19">
        <v>1</v>
      </c>
      <c r="D19">
        <f t="shared" si="2"/>
        <v>5.1532915944977793</v>
      </c>
      <c r="E19">
        <f t="shared" si="3"/>
        <v>5.1532915944977793</v>
      </c>
      <c r="F19">
        <f t="shared" si="4"/>
        <v>1</v>
      </c>
      <c r="G19">
        <f t="shared" si="5"/>
        <v>26.556414257921464</v>
      </c>
      <c r="H19">
        <f t="shared" si="1"/>
        <v>5.1126334461109657</v>
      </c>
      <c r="I19">
        <f t="shared" si="6"/>
        <v>4.0658148386813586E-2</v>
      </c>
      <c r="J19">
        <f t="shared" si="7"/>
        <v>1.6530850302441521E-3</v>
      </c>
    </row>
    <row r="20" spans="3:10">
      <c r="C20">
        <v>1</v>
      </c>
      <c r="D20">
        <f t="shared" si="2"/>
        <v>5.098035484377089</v>
      </c>
      <c r="E20">
        <f t="shared" si="3"/>
        <v>5.098035484377089</v>
      </c>
      <c r="F20">
        <f t="shared" si="4"/>
        <v>1</v>
      </c>
      <c r="G20">
        <f t="shared" si="5"/>
        <v>25.989965799967941</v>
      </c>
      <c r="H20">
        <f t="shared" si="1"/>
        <v>5.1126334461109657</v>
      </c>
      <c r="I20">
        <f t="shared" si="6"/>
        <v>-1.459796173387673E-2</v>
      </c>
      <c r="J20">
        <f t="shared" si="7"/>
        <v>2.1310048678372929E-4</v>
      </c>
    </row>
    <row r="21" spans="3:10">
      <c r="C21">
        <v>2</v>
      </c>
      <c r="D21">
        <f>LN(D3)</f>
        <v>5.522260598032811</v>
      </c>
      <c r="E21">
        <f t="shared" si="3"/>
        <v>11.044521196065622</v>
      </c>
      <c r="F21">
        <f t="shared" si="4"/>
        <v>4</v>
      </c>
      <c r="G21">
        <f t="shared" si="5"/>
        <v>30.495362112585699</v>
      </c>
      <c r="H21">
        <f t="shared" si="1"/>
        <v>5.5180985542191285</v>
      </c>
      <c r="I21">
        <f t="shared" si="6"/>
        <v>4.1620438136824589E-3</v>
      </c>
      <c r="J21">
        <f t="shared" si="7"/>
        <v>1.7322608707012425E-5</v>
      </c>
    </row>
    <row r="22" spans="3:10">
      <c r="C22">
        <v>2</v>
      </c>
      <c r="D22">
        <f t="shared" ref="D22:D27" si="8">LN(D4)</f>
        <v>5.5053315359323625</v>
      </c>
      <c r="E22">
        <f t="shared" si="3"/>
        <v>11.010663071864725</v>
      </c>
      <c r="F22">
        <f t="shared" si="4"/>
        <v>4</v>
      </c>
      <c r="G22">
        <f t="shared" si="5"/>
        <v>30.308675320531385</v>
      </c>
      <c r="H22">
        <f t="shared" si="1"/>
        <v>5.5180985542191285</v>
      </c>
      <c r="I22">
        <f t="shared" si="6"/>
        <v>-1.2767018286766074E-2</v>
      </c>
      <c r="J22">
        <f t="shared" si="7"/>
        <v>1.6299675593461934E-4</v>
      </c>
    </row>
    <row r="23" spans="3:10">
      <c r="C23">
        <v>2</v>
      </c>
      <c r="D23">
        <f t="shared" si="8"/>
        <v>5.5264484593732854</v>
      </c>
      <c r="E23">
        <f t="shared" si="3"/>
        <v>11.052896918746571</v>
      </c>
      <c r="F23">
        <f t="shared" si="4"/>
        <v>4</v>
      </c>
      <c r="G23">
        <f t="shared" si="5"/>
        <v>30.541632574109361</v>
      </c>
      <c r="H23">
        <f t="shared" si="1"/>
        <v>5.5180985542191285</v>
      </c>
      <c r="I23">
        <f t="shared" si="6"/>
        <v>8.3499051541569003E-3</v>
      </c>
      <c r="J23">
        <f t="shared" si="7"/>
        <v>6.972091608341597E-5</v>
      </c>
    </row>
    <row r="24" spans="3:10">
      <c r="C24">
        <v>2</v>
      </c>
      <c r="D24">
        <f t="shared" si="8"/>
        <v>5.5216608978649129</v>
      </c>
      <c r="E24">
        <f t="shared" si="3"/>
        <v>11.043321795729826</v>
      </c>
      <c r="F24">
        <f t="shared" si="4"/>
        <v>4</v>
      </c>
      <c r="G24">
        <f t="shared" si="5"/>
        <v>30.488739071010357</v>
      </c>
      <c r="H24">
        <f t="shared" si="1"/>
        <v>5.5180985542191285</v>
      </c>
      <c r="I24">
        <f t="shared" si="6"/>
        <v>3.5623436457843383E-3</v>
      </c>
      <c r="J24">
        <f t="shared" si="7"/>
        <v>1.269029225066005E-5</v>
      </c>
    </row>
    <row r="25" spans="3:10">
      <c r="C25">
        <v>2</v>
      </c>
      <c r="D25">
        <f t="shared" si="8"/>
        <v>5.4887310932393278</v>
      </c>
      <c r="E25">
        <f t="shared" si="3"/>
        <v>10.977462186478656</v>
      </c>
      <c r="F25">
        <f t="shared" si="4"/>
        <v>4</v>
      </c>
      <c r="G25">
        <f t="shared" si="5"/>
        <v>30.126169013892188</v>
      </c>
      <c r="H25">
        <f t="shared" si="1"/>
        <v>5.5180985542191285</v>
      </c>
      <c r="I25">
        <f t="shared" si="6"/>
        <v>-2.9367460979800697E-2</v>
      </c>
      <c r="J25">
        <f t="shared" si="7"/>
        <v>8.6244776440011646E-4</v>
      </c>
    </row>
    <row r="26" spans="3:10">
      <c r="C26">
        <v>2</v>
      </c>
      <c r="D26">
        <f t="shared" si="8"/>
        <v>5.558756702605943</v>
      </c>
      <c r="E26">
        <f t="shared" si="3"/>
        <v>11.117513405211886</v>
      </c>
      <c r="F26">
        <f t="shared" si="4"/>
        <v>4</v>
      </c>
      <c r="G26">
        <f t="shared" si="5"/>
        <v>30.899776078766497</v>
      </c>
      <c r="H26">
        <f t="shared" si="1"/>
        <v>5.5180985542191285</v>
      </c>
      <c r="I26">
        <f t="shared" si="6"/>
        <v>4.0658148386814474E-2</v>
      </c>
      <c r="J26">
        <f t="shared" si="7"/>
        <v>1.6530850302442245E-3</v>
      </c>
    </row>
    <row r="27" spans="3:10">
      <c r="C27">
        <v>2</v>
      </c>
      <c r="D27">
        <f t="shared" si="8"/>
        <v>5.5035005924852536</v>
      </c>
      <c r="E27">
        <f t="shared" si="3"/>
        <v>11.007001184970507</v>
      </c>
      <c r="F27">
        <f t="shared" si="4"/>
        <v>4</v>
      </c>
      <c r="G27">
        <f t="shared" si="5"/>
        <v>30.288518771485538</v>
      </c>
      <c r="H27">
        <f t="shared" si="1"/>
        <v>5.5180985542191285</v>
      </c>
      <c r="I27">
        <f t="shared" si="6"/>
        <v>-1.4597961733874953E-2</v>
      </c>
      <c r="J27">
        <f t="shared" si="7"/>
        <v>2.1310048678367744E-4</v>
      </c>
    </row>
    <row r="28" spans="3:10">
      <c r="C28">
        <v>3</v>
      </c>
      <c r="D28">
        <f>LN(E3)</f>
        <v>5.9277257061409756</v>
      </c>
      <c r="E28">
        <f t="shared" si="3"/>
        <v>17.783177118422927</v>
      </c>
      <c r="F28">
        <f t="shared" si="4"/>
        <v>9</v>
      </c>
      <c r="G28">
        <f t="shared" si="5"/>
        <v>35.137932047244526</v>
      </c>
      <c r="H28">
        <f t="shared" si="1"/>
        <v>5.9235636623272923</v>
      </c>
      <c r="I28">
        <f t="shared" si="6"/>
        <v>4.1620438136833471E-3</v>
      </c>
      <c r="J28">
        <f t="shared" si="7"/>
        <v>1.7322608707019818E-5</v>
      </c>
    </row>
    <row r="29" spans="3:10">
      <c r="C29">
        <v>3</v>
      </c>
      <c r="D29">
        <f t="shared" ref="D29:D34" si="9">LN(E4)</f>
        <v>5.9107966440405271</v>
      </c>
      <c r="E29">
        <f t="shared" si="3"/>
        <v>17.732389932121581</v>
      </c>
      <c r="F29">
        <f t="shared" si="4"/>
        <v>9</v>
      </c>
      <c r="G29">
        <f t="shared" si="5"/>
        <v>34.937516967200757</v>
      </c>
      <c r="H29">
        <f t="shared" si="1"/>
        <v>5.9235636623272923</v>
      </c>
      <c r="I29">
        <f t="shared" si="6"/>
        <v>-1.2767018286765186E-2</v>
      </c>
      <c r="J29">
        <f t="shared" si="7"/>
        <v>1.6299675593459665E-4</v>
      </c>
    </row>
    <row r="30" spans="3:10">
      <c r="C30">
        <v>3</v>
      </c>
      <c r="D30">
        <f t="shared" si="9"/>
        <v>5.93191356748145</v>
      </c>
      <c r="E30">
        <f t="shared" si="3"/>
        <v>17.795740702444348</v>
      </c>
      <c r="F30">
        <f t="shared" si="4"/>
        <v>9</v>
      </c>
      <c r="G30">
        <f t="shared" si="5"/>
        <v>35.187598572070506</v>
      </c>
      <c r="H30">
        <f t="shared" si="1"/>
        <v>5.9235636623272923</v>
      </c>
      <c r="I30">
        <f t="shared" si="6"/>
        <v>8.3499051541577884E-3</v>
      </c>
      <c r="J30">
        <f t="shared" si="7"/>
        <v>6.9720916083430796E-5</v>
      </c>
    </row>
    <row r="31" spans="3:10">
      <c r="C31">
        <v>3</v>
      </c>
      <c r="D31">
        <f t="shared" si="9"/>
        <v>5.9271260059730775</v>
      </c>
      <c r="E31">
        <f t="shared" si="3"/>
        <v>17.781378017919231</v>
      </c>
      <c r="F31">
        <f t="shared" si="4"/>
        <v>9</v>
      </c>
      <c r="G31">
        <f t="shared" si="5"/>
        <v>35.130822690682365</v>
      </c>
      <c r="H31">
        <f t="shared" si="1"/>
        <v>5.9235636623272923</v>
      </c>
      <c r="I31">
        <f t="shared" si="6"/>
        <v>3.5623436457852264E-3</v>
      </c>
      <c r="J31">
        <f t="shared" si="7"/>
        <v>1.2690292250666379E-5</v>
      </c>
    </row>
    <row r="32" spans="3:10">
      <c r="C32">
        <v>3</v>
      </c>
      <c r="D32">
        <f t="shared" si="9"/>
        <v>5.8941962013474916</v>
      </c>
      <c r="E32">
        <f t="shared" si="3"/>
        <v>17.682588604042476</v>
      </c>
      <c r="F32">
        <f t="shared" si="4"/>
        <v>9</v>
      </c>
      <c r="G32">
        <f t="shared" si="5"/>
        <v>34.741548859979197</v>
      </c>
      <c r="H32">
        <f t="shared" si="1"/>
        <v>5.9235636623272923</v>
      </c>
      <c r="I32">
        <f t="shared" si="6"/>
        <v>-2.9367460979800697E-2</v>
      </c>
      <c r="J32">
        <f t="shared" si="7"/>
        <v>8.6244776440011646E-4</v>
      </c>
    </row>
    <row r="33" spans="2:10">
      <c r="C33">
        <v>3</v>
      </c>
      <c r="D33">
        <f t="shared" si="9"/>
        <v>5.9642218107141076</v>
      </c>
      <c r="E33">
        <f t="shared" si="3"/>
        <v>17.892665432142323</v>
      </c>
      <c r="F33">
        <f t="shared" si="4"/>
        <v>9</v>
      </c>
      <c r="G33">
        <f t="shared" si="5"/>
        <v>35.57194180739787</v>
      </c>
      <c r="H33">
        <f t="shared" si="1"/>
        <v>5.9235636623272923</v>
      </c>
      <c r="I33">
        <f t="shared" si="6"/>
        <v>4.0658148386815363E-2</v>
      </c>
      <c r="J33">
        <f t="shared" si="7"/>
        <v>1.6530850302442968E-3</v>
      </c>
    </row>
    <row r="34" spans="2:10">
      <c r="C34">
        <v>3</v>
      </c>
      <c r="D34">
        <f t="shared" si="9"/>
        <v>5.9089657005934182</v>
      </c>
      <c r="E34">
        <f t="shared" si="3"/>
        <v>17.726897101780253</v>
      </c>
      <c r="F34">
        <f t="shared" si="4"/>
        <v>9</v>
      </c>
      <c r="G34">
        <f t="shared" si="5"/>
        <v>34.915875650789467</v>
      </c>
      <c r="H34">
        <f t="shared" si="1"/>
        <v>5.9235636623272923</v>
      </c>
      <c r="I34">
        <f t="shared" si="6"/>
        <v>-1.4597961733874065E-2</v>
      </c>
      <c r="J34">
        <f t="shared" si="7"/>
        <v>2.131004867836515E-4</v>
      </c>
    </row>
    <row r="35" spans="2:10">
      <c r="C35">
        <v>4</v>
      </c>
      <c r="D35">
        <f>LN(F3)</f>
        <v>6.3331908142491393</v>
      </c>
      <c r="E35">
        <f t="shared" si="3"/>
        <v>25.332763256996557</v>
      </c>
      <c r="F35">
        <f t="shared" si="4"/>
        <v>16</v>
      </c>
      <c r="G35">
        <f t="shared" si="5"/>
        <v>40.109305889689679</v>
      </c>
      <c r="H35">
        <f t="shared" si="1"/>
        <v>6.329028770435456</v>
      </c>
      <c r="I35">
        <f t="shared" si="6"/>
        <v>4.1620438136833471E-3</v>
      </c>
      <c r="J35">
        <f t="shared" si="7"/>
        <v>1.7322608707019818E-5</v>
      </c>
    </row>
    <row r="36" spans="2:10">
      <c r="C36">
        <v>4</v>
      </c>
      <c r="D36">
        <f t="shared" ref="D36:D41" si="10">LN(F4)</f>
        <v>6.3162617521486917</v>
      </c>
      <c r="E36">
        <f t="shared" si="3"/>
        <v>25.265047008594767</v>
      </c>
      <c r="F36">
        <f t="shared" si="4"/>
        <v>16</v>
      </c>
      <c r="G36">
        <f t="shared" si="5"/>
        <v>39.895162521656459</v>
      </c>
      <c r="H36">
        <f t="shared" si="1"/>
        <v>6.329028770435456</v>
      </c>
      <c r="I36">
        <f t="shared" si="6"/>
        <v>-1.2767018286764298E-2</v>
      </c>
      <c r="J36">
        <f t="shared" si="7"/>
        <v>1.6299675593457399E-4</v>
      </c>
    </row>
    <row r="37" spans="2:10">
      <c r="C37">
        <v>4</v>
      </c>
      <c r="D37">
        <f t="shared" si="10"/>
        <v>6.3373786755896147</v>
      </c>
      <c r="E37">
        <f t="shared" si="3"/>
        <v>25.349514702358459</v>
      </c>
      <c r="F37">
        <f t="shared" si="4"/>
        <v>16</v>
      </c>
      <c r="G37">
        <f t="shared" si="5"/>
        <v>40.162368477817978</v>
      </c>
      <c r="H37">
        <f t="shared" si="1"/>
        <v>6.329028770435456</v>
      </c>
      <c r="I37">
        <f t="shared" si="6"/>
        <v>8.3499051541586766E-3</v>
      </c>
      <c r="J37">
        <f t="shared" si="7"/>
        <v>6.9720916083445636E-5</v>
      </c>
    </row>
    <row r="38" spans="2:10">
      <c r="C38">
        <v>4</v>
      </c>
      <c r="D38">
        <f t="shared" si="10"/>
        <v>6.3325911140812412</v>
      </c>
      <c r="E38">
        <f t="shared" si="3"/>
        <v>25.330364456324965</v>
      </c>
      <c r="F38">
        <f t="shared" si="4"/>
        <v>16</v>
      </c>
      <c r="G38">
        <f t="shared" si="5"/>
        <v>40.101710218140695</v>
      </c>
      <c r="H38">
        <f t="shared" si="1"/>
        <v>6.329028770435456</v>
      </c>
      <c r="I38">
        <f t="shared" si="6"/>
        <v>3.5623436457852264E-3</v>
      </c>
      <c r="J38">
        <f t="shared" si="7"/>
        <v>1.2690292250666379E-5</v>
      </c>
    </row>
    <row r="39" spans="2:10">
      <c r="C39">
        <v>4</v>
      </c>
      <c r="D39">
        <f t="shared" si="10"/>
        <v>6.2996613094556562</v>
      </c>
      <c r="E39">
        <f t="shared" si="3"/>
        <v>25.198645237822625</v>
      </c>
      <c r="F39">
        <f t="shared" si="4"/>
        <v>16</v>
      </c>
      <c r="G39">
        <f t="shared" si="5"/>
        <v>39.685732613852551</v>
      </c>
      <c r="H39">
        <f t="shared" si="1"/>
        <v>6.329028770435456</v>
      </c>
      <c r="I39">
        <f t="shared" si="6"/>
        <v>-2.9367460979799809E-2</v>
      </c>
      <c r="J39">
        <f t="shared" si="7"/>
        <v>8.6244776440006431E-4</v>
      </c>
    </row>
    <row r="40" spans="2:10">
      <c r="C40">
        <v>4</v>
      </c>
      <c r="D40">
        <f t="shared" si="10"/>
        <v>6.3696869188222722</v>
      </c>
      <c r="E40">
        <f t="shared" si="3"/>
        <v>25.478747675289089</v>
      </c>
      <c r="F40">
        <f t="shared" si="4"/>
        <v>16</v>
      </c>
      <c r="G40">
        <f t="shared" si="5"/>
        <v>40.57291144381557</v>
      </c>
      <c r="H40">
        <f t="shared" si="1"/>
        <v>6.329028770435456</v>
      </c>
      <c r="I40">
        <f t="shared" si="6"/>
        <v>4.0658148386816251E-2</v>
      </c>
      <c r="J40">
        <f t="shared" si="7"/>
        <v>1.653085030244369E-3</v>
      </c>
    </row>
    <row r="41" spans="2:10">
      <c r="C41">
        <v>4</v>
      </c>
      <c r="D41">
        <f t="shared" si="10"/>
        <v>6.3144308087015819</v>
      </c>
      <c r="E41">
        <f t="shared" si="3"/>
        <v>25.257723234806328</v>
      </c>
      <c r="F41">
        <f t="shared" si="4"/>
        <v>16</v>
      </c>
      <c r="G41">
        <f t="shared" si="5"/>
        <v>39.872036437879714</v>
      </c>
      <c r="H41">
        <f t="shared" si="1"/>
        <v>6.329028770435456</v>
      </c>
      <c r="I41">
        <f t="shared" si="6"/>
        <v>-1.4597961733874065E-2</v>
      </c>
      <c r="J41">
        <f t="shared" si="7"/>
        <v>2.131004867836515E-4</v>
      </c>
    </row>
    <row r="42" spans="2:10">
      <c r="B42" t="s">
        <v>11</v>
      </c>
      <c r="C42">
        <f t="shared" ref="C42:D42" si="11">SUM(C14:C41)</f>
        <v>70</v>
      </c>
      <c r="D42">
        <f t="shared" si="11"/>
        <v>160.18327103164989</v>
      </c>
      <c r="E42">
        <f>SUM(E14:E41)</f>
        <v>414.64945636291043</v>
      </c>
      <c r="F42">
        <f>SUM(F14:F41)</f>
        <v>210</v>
      </c>
      <c r="G42">
        <f>SUM(G14:G41)</f>
        <v>922.14747378449999</v>
      </c>
      <c r="H42">
        <f t="shared" ref="H42:J42" si="12">SUM(H14:H41)</f>
        <v>160.18327103164992</v>
      </c>
      <c r="I42">
        <f t="shared" si="12"/>
        <v>-1.0658141036401503E-14</v>
      </c>
      <c r="J42">
        <f t="shared" si="12"/>
        <v>1.1965455417615071E-2</v>
      </c>
    </row>
    <row r="43" spans="2:10">
      <c r="B43" t="s">
        <v>8</v>
      </c>
      <c r="C43">
        <f>C42/n</f>
        <v>2.5</v>
      </c>
      <c r="D43">
        <f>D42/n</f>
        <v>5.7208311082732104</v>
      </c>
      <c r="E43">
        <f>E42/n</f>
        <v>14.808909155818229</v>
      </c>
    </row>
    <row r="44" spans="2:10">
      <c r="B44" t="s">
        <v>10</v>
      </c>
      <c r="C44">
        <f>STDEV(C14:C41)</f>
        <v>1.1385500851066221</v>
      </c>
      <c r="D44">
        <f>STDEV(D14:D41)</f>
        <v>0.46212207148224949</v>
      </c>
    </row>
    <row r="46" spans="2:10">
      <c r="B46" t="s">
        <v>12</v>
      </c>
      <c r="C46">
        <f>mean_y-b_1*mean_x</f>
        <v>4.707168338002802</v>
      </c>
    </row>
    <row r="47" spans="2:10">
      <c r="B47" t="s">
        <v>13</v>
      </c>
      <c r="C47">
        <f>(sum_x_y-n*mean_x*mean_y)/(sum_x_x-n*mean_x^2)</f>
        <v>0.40546510810816344</v>
      </c>
    </row>
    <row r="48" spans="2:10">
      <c r="B48" t="s">
        <v>14</v>
      </c>
      <c r="C48">
        <f>b_0</f>
        <v>4.707168338002802</v>
      </c>
      <c r="D48" t="s">
        <v>15</v>
      </c>
      <c r="E48">
        <f>b_1</f>
        <v>0.40546510810816344</v>
      </c>
      <c r="F48" t="s">
        <v>7</v>
      </c>
    </row>
    <row r="50" spans="2:5">
      <c r="B50" t="s">
        <v>30</v>
      </c>
    </row>
    <row r="51" spans="2:5">
      <c r="C51" t="s">
        <v>23</v>
      </c>
      <c r="D51">
        <f>sum_y_y</f>
        <v>922.14747378449999</v>
      </c>
    </row>
    <row r="52" spans="2:5">
      <c r="C52" t="s">
        <v>24</v>
      </c>
      <c r="D52">
        <f>n*mean_y^2</f>
        <v>916.38143994282154</v>
      </c>
    </row>
    <row r="53" spans="2:5">
      <c r="C53" t="s">
        <v>21</v>
      </c>
      <c r="D53">
        <f>ssy-ss0</f>
        <v>5.7660338416784498</v>
      </c>
    </row>
    <row r="54" spans="2:5">
      <c r="C54" t="s">
        <v>27</v>
      </c>
      <c r="D54">
        <f>J42</f>
        <v>1.1965455417615071E-2</v>
      </c>
    </row>
    <row r="55" spans="2:5">
      <c r="C55" t="s">
        <v>28</v>
      </c>
      <c r="D55">
        <f>sst-sse</f>
        <v>5.7540683862608351</v>
      </c>
    </row>
    <row r="56" spans="2:5">
      <c r="B56" t="s">
        <v>32</v>
      </c>
    </row>
    <row r="57" spans="2:5">
      <c r="C57" t="s">
        <v>29</v>
      </c>
      <c r="D57">
        <f>ssr/sst</f>
        <v>0.99792483780946184</v>
      </c>
    </row>
    <row r="58" spans="2:5">
      <c r="C58" t="s">
        <v>31</v>
      </c>
      <c r="D58">
        <f>SQRT(D57)</f>
        <v>0.99896188005822417</v>
      </c>
    </row>
    <row r="59" spans="2:5">
      <c r="B59" t="s">
        <v>33</v>
      </c>
    </row>
    <row r="60" spans="2:5">
      <c r="C60" t="s">
        <v>34</v>
      </c>
      <c r="D60">
        <f>SQRT(sse/(n-2))</f>
        <v>2.1452501573346307E-2</v>
      </c>
    </row>
    <row r="61" spans="2:5">
      <c r="B61" t="s">
        <v>35</v>
      </c>
    </row>
    <row r="62" spans="2:5">
      <c r="C62" t="s">
        <v>36</v>
      </c>
      <c r="D62">
        <f>s_e*SQRT(1/n+mean_x^2/(sum_x_x-n*mean_x^2))</f>
        <v>9.9305785735031484E-3</v>
      </c>
    </row>
    <row r="63" spans="2:5">
      <c r="C63" t="s">
        <v>37</v>
      </c>
      <c r="D63">
        <f>s_e/(SQRT(sum_x_x-n*mean_x^2))</f>
        <v>3.6261345958567654E-3</v>
      </c>
    </row>
    <row r="64" spans="2:5">
      <c r="C64" t="s">
        <v>38</v>
      </c>
      <c r="E64" s="1">
        <v>0.95</v>
      </c>
    </row>
    <row r="65" spans="2:10">
      <c r="C65" t="s">
        <v>39</v>
      </c>
      <c r="E65" s="1">
        <f>1-E64</f>
        <v>5.0000000000000044E-2</v>
      </c>
    </row>
    <row r="66" spans="2:10">
      <c r="C66" t="s">
        <v>40</v>
      </c>
      <c r="E66">
        <f>1-E65/2</f>
        <v>0.97499999999999998</v>
      </c>
    </row>
    <row r="67" spans="2:10">
      <c r="C67" t="s">
        <v>50</v>
      </c>
      <c r="E67">
        <v>2.056</v>
      </c>
    </row>
    <row r="68" spans="2:10">
      <c r="C68" t="s">
        <v>12</v>
      </c>
      <c r="E68">
        <f>b_0-E67*s_b_0</f>
        <v>4.6867510684556795</v>
      </c>
      <c r="F68">
        <f>b_0+E67*s_b_0</f>
        <v>4.7275856075499245</v>
      </c>
      <c r="H68" t="s">
        <v>41</v>
      </c>
    </row>
    <row r="69" spans="2:10">
      <c r="C69" t="s">
        <v>13</v>
      </c>
      <c r="E69">
        <f>b_1-E67*s_b_1</f>
        <v>0.39800977537908194</v>
      </c>
      <c r="F69">
        <f>b_1+E67*s_b_1</f>
        <v>0.41292044083724494</v>
      </c>
      <c r="H69" t="s">
        <v>41</v>
      </c>
    </row>
    <row r="70" spans="2:10">
      <c r="B70" t="s">
        <v>42</v>
      </c>
    </row>
    <row r="71" spans="2:10">
      <c r="C71" t="s">
        <v>43</v>
      </c>
      <c r="D71" t="s">
        <v>46</v>
      </c>
      <c r="E71" t="s">
        <v>10</v>
      </c>
      <c r="F71" t="s">
        <v>48</v>
      </c>
      <c r="G71" t="s">
        <v>48</v>
      </c>
      <c r="H71" t="s">
        <v>47</v>
      </c>
      <c r="I71" t="s">
        <v>38</v>
      </c>
      <c r="J71" t="s">
        <v>45</v>
      </c>
    </row>
    <row r="72" spans="2:10">
      <c r="C72">
        <v>1</v>
      </c>
      <c r="D72">
        <f>AVERAGE(D14:D20)</f>
        <v>5.1126334461109639</v>
      </c>
      <c r="E72">
        <f>STDEV(D14:D20)</f>
        <v>2.2328471564364391E-2</v>
      </c>
      <c r="F72">
        <f>t_95_6*E72/SQRT(7)</f>
        <v>2.0651135913456152E-2</v>
      </c>
      <c r="G72">
        <f>t_95_6*E72/SQRT(7)</f>
        <v>2.0651135913456152E-2</v>
      </c>
      <c r="H72">
        <f>b_0+b_1*C72</f>
        <v>5.1126334461109657</v>
      </c>
      <c r="I72">
        <f>b_0_min+b_1_min*C72</f>
        <v>5.0847608438347613</v>
      </c>
      <c r="J72">
        <f>b_0_max+b_1_max*C72</f>
        <v>5.1405060483871692</v>
      </c>
    </row>
    <row r="73" spans="2:10">
      <c r="C73">
        <v>2</v>
      </c>
      <c r="D73">
        <f>AVERAGE(D21:D27)</f>
        <v>5.5180985542191276</v>
      </c>
      <c r="E73">
        <f>STDEV(D21:D27)</f>
        <v>2.2328471564364207E-2</v>
      </c>
      <c r="F73">
        <f>t_95_6*E73/SQRT(7)</f>
        <v>2.0651135913455982E-2</v>
      </c>
      <c r="G73">
        <f>t_95_6*E73/SQRT(7)</f>
        <v>2.0651135913455982E-2</v>
      </c>
      <c r="H73">
        <f>b_0+b_1*C73</f>
        <v>5.5180985542191285</v>
      </c>
      <c r="I73">
        <f>b_0_min+b_1_min*C73</f>
        <v>5.4827706192138432</v>
      </c>
      <c r="J73">
        <f>b_0_max+b_1_max*C73</f>
        <v>5.5534264892244147</v>
      </c>
    </row>
    <row r="74" spans="2:10">
      <c r="C74">
        <v>3</v>
      </c>
      <c r="D74">
        <f>AVERAGE(D28:D34)</f>
        <v>5.9235636623272923</v>
      </c>
      <c r="E74">
        <f>STDEV(D28:D34)</f>
        <v>2.2328471564364401E-2</v>
      </c>
      <c r="F74">
        <f>t_95_6*E74/SQRT(7)</f>
        <v>2.0651135913456162E-2</v>
      </c>
      <c r="G74">
        <f>t_95_6*E74/SQRT(7)</f>
        <v>2.0651135913456162E-2</v>
      </c>
      <c r="H74">
        <f>b_0+b_1*C74</f>
        <v>5.9235636623272923</v>
      </c>
      <c r="I74">
        <f>b_0_min+b_1_min*C74</f>
        <v>5.8807803945929251</v>
      </c>
      <c r="J74">
        <f>b_0_max+b_1_max*C74</f>
        <v>5.9663469300616594</v>
      </c>
    </row>
    <row r="75" spans="2:10">
      <c r="C75">
        <v>4</v>
      </c>
      <c r="D75">
        <f>AVERAGE(D35:D41)</f>
        <v>6.3290287704354569</v>
      </c>
      <c r="E75">
        <f>STDEV(D35:D41)</f>
        <v>2.232847156436445E-2</v>
      </c>
      <c r="F75">
        <f>t_95_6*E75/SQRT(7)</f>
        <v>2.0651135913456208E-2</v>
      </c>
      <c r="G75">
        <f>t_95_6*E75/SQRT(7)</f>
        <v>2.0651135913456208E-2</v>
      </c>
      <c r="H75">
        <f>b_0+b_1*C75</f>
        <v>6.329028770435456</v>
      </c>
      <c r="I75">
        <f>b_0_min+b_1_min*C75</f>
        <v>6.278790169972007</v>
      </c>
      <c r="J75">
        <f>b_0_max+b_1_max*C75</f>
        <v>6.3792673708989041</v>
      </c>
    </row>
    <row r="76" spans="2:10">
      <c r="C76" t="s">
        <v>44</v>
      </c>
      <c r="D76">
        <v>2.4470000000000001</v>
      </c>
    </row>
    <row r="93" spans="2:4">
      <c r="B93" t="s">
        <v>49</v>
      </c>
    </row>
    <row r="94" spans="2:4">
      <c r="C94" t="s">
        <v>54</v>
      </c>
      <c r="D94">
        <v>5</v>
      </c>
    </row>
    <row r="95" spans="2:4">
      <c r="C95" t="s">
        <v>51</v>
      </c>
      <c r="D95">
        <f>b_0+b_1*5</f>
        <v>6.7344938785436188</v>
      </c>
    </row>
    <row r="96" spans="2:4">
      <c r="C96" t="s">
        <v>53</v>
      </c>
      <c r="D96">
        <v>2</v>
      </c>
    </row>
    <row r="97" spans="2:6">
      <c r="C97" t="s">
        <v>52</v>
      </c>
      <c r="E97">
        <f>s_e*SQRT(1/m+1/n+(x_p-mean_x)^2/(sum_x_x-n*mean_x^2))</f>
        <v>1.8130672979283828E-2</v>
      </c>
    </row>
    <row r="98" spans="2:6">
      <c r="C98" t="s">
        <v>38</v>
      </c>
      <c r="E98" s="1">
        <v>0.95</v>
      </c>
    </row>
    <row r="99" spans="2:6">
      <c r="C99" t="s">
        <v>39</v>
      </c>
      <c r="E99" s="1">
        <f>1-E98</f>
        <v>5.0000000000000044E-2</v>
      </c>
    </row>
    <row r="100" spans="2:6">
      <c r="C100" t="s">
        <v>40</v>
      </c>
      <c r="E100">
        <f>1-E99/2</f>
        <v>0.97499999999999998</v>
      </c>
    </row>
    <row r="101" spans="2:6">
      <c r="C101" t="s">
        <v>55</v>
      </c>
      <c r="E101">
        <v>2.056</v>
      </c>
    </row>
    <row r="102" spans="2:6">
      <c r="C102" t="s">
        <v>51</v>
      </c>
      <c r="E102">
        <f>D95-E101*E97</f>
        <v>6.6972172148982114</v>
      </c>
      <c r="F102">
        <f>D95+E101*E97</f>
        <v>6.7717705421890262</v>
      </c>
    </row>
    <row r="104" spans="2:6">
      <c r="C104" t="s">
        <v>56</v>
      </c>
      <c r="F104">
        <v>179.1</v>
      </c>
    </row>
    <row r="105" spans="2:6">
      <c r="B105" t="s">
        <v>57</v>
      </c>
    </row>
    <row r="106" spans="2:6">
      <c r="C106" t="s">
        <v>58</v>
      </c>
    </row>
    <row r="107" spans="2:6">
      <c r="B107" t="s">
        <v>59</v>
      </c>
    </row>
    <row r="108" spans="2:6">
      <c r="C108" t="s">
        <v>20</v>
      </c>
      <c r="D108" t="s">
        <v>60</v>
      </c>
    </row>
    <row r="109" spans="2:6">
      <c r="C109">
        <f>H14</f>
        <v>5.1126334461109657</v>
      </c>
      <c r="D109">
        <f>I14</f>
        <v>4.1620438136806825E-3</v>
      </c>
    </row>
    <row r="110" spans="2:6">
      <c r="C110">
        <f>H15</f>
        <v>5.1126334461109657</v>
      </c>
      <c r="D110">
        <f>I15</f>
        <v>-1.2767018286766962E-2</v>
      </c>
    </row>
    <row r="111" spans="2:6">
      <c r="C111">
        <f t="shared" ref="C111:C136" si="13">H16</f>
        <v>5.1126334461109657</v>
      </c>
      <c r="D111">
        <f t="shared" ref="D111:D136" si="14">I16</f>
        <v>8.3499051541551239E-3</v>
      </c>
    </row>
    <row r="112" spans="2:6">
      <c r="C112">
        <f t="shared" si="13"/>
        <v>5.1126334461109657</v>
      </c>
      <c r="D112">
        <f t="shared" si="14"/>
        <v>3.5623436457825619E-3</v>
      </c>
    </row>
    <row r="113" spans="3:8">
      <c r="C113">
        <f t="shared" si="13"/>
        <v>5.1126334461109657</v>
      </c>
      <c r="D113">
        <f t="shared" si="14"/>
        <v>-2.9367460979802473E-2</v>
      </c>
    </row>
    <row r="114" spans="3:8">
      <c r="C114">
        <f t="shared" si="13"/>
        <v>5.1126334461109657</v>
      </c>
      <c r="D114">
        <f t="shared" si="14"/>
        <v>4.0658148386813586E-2</v>
      </c>
    </row>
    <row r="115" spans="3:8">
      <c r="C115">
        <f t="shared" si="13"/>
        <v>5.1126334461109657</v>
      </c>
      <c r="D115">
        <f t="shared" si="14"/>
        <v>-1.459796173387673E-2</v>
      </c>
    </row>
    <row r="116" spans="3:8">
      <c r="C116">
        <f t="shared" si="13"/>
        <v>5.5180985542191285</v>
      </c>
      <c r="D116">
        <f t="shared" si="14"/>
        <v>4.1620438136824589E-3</v>
      </c>
    </row>
    <row r="117" spans="3:8">
      <c r="C117">
        <f t="shared" si="13"/>
        <v>5.5180985542191285</v>
      </c>
      <c r="D117">
        <f t="shared" si="14"/>
        <v>-1.2767018286766074E-2</v>
      </c>
    </row>
    <row r="118" spans="3:8">
      <c r="C118">
        <f t="shared" si="13"/>
        <v>5.5180985542191285</v>
      </c>
      <c r="D118">
        <f t="shared" si="14"/>
        <v>8.3499051541569003E-3</v>
      </c>
    </row>
    <row r="119" spans="3:8">
      <c r="C119">
        <f t="shared" si="13"/>
        <v>5.5180985542191285</v>
      </c>
      <c r="D119">
        <f t="shared" si="14"/>
        <v>3.5623436457843383E-3</v>
      </c>
    </row>
    <row r="120" spans="3:8">
      <c r="C120">
        <f t="shared" si="13"/>
        <v>5.5180985542191285</v>
      </c>
      <c r="D120">
        <f t="shared" si="14"/>
        <v>-2.9367460979800697E-2</v>
      </c>
    </row>
    <row r="121" spans="3:8">
      <c r="C121">
        <f t="shared" si="13"/>
        <v>5.5180985542191285</v>
      </c>
      <c r="D121">
        <f t="shared" si="14"/>
        <v>4.0658148386814474E-2</v>
      </c>
    </row>
    <row r="122" spans="3:8">
      <c r="C122">
        <f t="shared" si="13"/>
        <v>5.5180985542191285</v>
      </c>
      <c r="D122">
        <f t="shared" si="14"/>
        <v>-1.4597961733874953E-2</v>
      </c>
    </row>
    <row r="123" spans="3:8">
      <c r="C123">
        <f t="shared" si="13"/>
        <v>5.9235636623272923</v>
      </c>
      <c r="D123">
        <f t="shared" si="14"/>
        <v>4.1620438136833471E-3</v>
      </c>
    </row>
    <row r="124" spans="3:8">
      <c r="C124">
        <f t="shared" si="13"/>
        <v>5.9235636623272923</v>
      </c>
      <c r="D124">
        <f t="shared" si="14"/>
        <v>-1.2767018286765186E-2</v>
      </c>
      <c r="H124" t="s">
        <v>62</v>
      </c>
    </row>
    <row r="125" spans="3:8">
      <c r="C125">
        <f t="shared" si="13"/>
        <v>5.9235636623272923</v>
      </c>
      <c r="D125">
        <f t="shared" si="14"/>
        <v>8.3499051541577884E-3</v>
      </c>
    </row>
    <row r="126" spans="3:8">
      <c r="C126">
        <f t="shared" si="13"/>
        <v>5.9235636623272923</v>
      </c>
      <c r="D126">
        <f t="shared" si="14"/>
        <v>3.5623436457852264E-3</v>
      </c>
    </row>
    <row r="127" spans="3:8">
      <c r="C127">
        <f t="shared" si="13"/>
        <v>5.9235636623272923</v>
      </c>
      <c r="D127">
        <f t="shared" si="14"/>
        <v>-2.9367460979800697E-2</v>
      </c>
      <c r="H127" t="s">
        <v>63</v>
      </c>
    </row>
    <row r="128" spans="3:8">
      <c r="C128">
        <f t="shared" si="13"/>
        <v>5.9235636623272923</v>
      </c>
      <c r="D128">
        <f t="shared" si="14"/>
        <v>4.0658148386815363E-2</v>
      </c>
      <c r="H128" t="s">
        <v>64</v>
      </c>
    </row>
    <row r="129" spans="2:4">
      <c r="C129">
        <f t="shared" si="13"/>
        <v>5.9235636623272923</v>
      </c>
      <c r="D129">
        <f t="shared" si="14"/>
        <v>-1.4597961733874065E-2</v>
      </c>
    </row>
    <row r="130" spans="2:4">
      <c r="C130">
        <f t="shared" si="13"/>
        <v>6.329028770435456</v>
      </c>
      <c r="D130">
        <f t="shared" si="14"/>
        <v>4.1620438136833471E-3</v>
      </c>
    </row>
    <row r="131" spans="2:4">
      <c r="C131">
        <f t="shared" si="13"/>
        <v>6.329028770435456</v>
      </c>
      <c r="D131">
        <f t="shared" si="14"/>
        <v>-1.2767018286764298E-2</v>
      </c>
    </row>
    <row r="132" spans="2:4">
      <c r="C132">
        <f t="shared" si="13"/>
        <v>6.329028770435456</v>
      </c>
      <c r="D132">
        <f t="shared" si="14"/>
        <v>8.3499051541586766E-3</v>
      </c>
    </row>
    <row r="133" spans="2:4">
      <c r="C133">
        <f t="shared" si="13"/>
        <v>6.329028770435456</v>
      </c>
      <c r="D133">
        <f t="shared" si="14"/>
        <v>3.5623436457852264E-3</v>
      </c>
    </row>
    <row r="134" spans="2:4">
      <c r="C134">
        <f t="shared" si="13"/>
        <v>6.329028770435456</v>
      </c>
      <c r="D134">
        <f t="shared" si="14"/>
        <v>-2.9367460979799809E-2</v>
      </c>
    </row>
    <row r="135" spans="2:4">
      <c r="C135">
        <f t="shared" si="13"/>
        <v>6.329028770435456</v>
      </c>
      <c r="D135">
        <f t="shared" si="14"/>
        <v>4.0658148386816251E-2</v>
      </c>
    </row>
    <row r="136" spans="2:4">
      <c r="C136">
        <f t="shared" si="13"/>
        <v>6.329028770435456</v>
      </c>
      <c r="D136">
        <f t="shared" si="14"/>
        <v>-1.4597961733874065E-2</v>
      </c>
    </row>
    <row r="137" spans="2:4">
      <c r="B137" t="s">
        <v>65</v>
      </c>
    </row>
    <row r="138" spans="2:4">
      <c r="C138" t="s">
        <v>66</v>
      </c>
      <c r="D138" t="s">
        <v>60</v>
      </c>
    </row>
    <row r="139" spans="2:4">
      <c r="C139">
        <v>1</v>
      </c>
      <c r="D139">
        <v>4.1620438136806825E-3</v>
      </c>
    </row>
    <row r="140" spans="2:4">
      <c r="C140">
        <v>2</v>
      </c>
      <c r="D140">
        <v>-1.2767018286766962E-2</v>
      </c>
    </row>
    <row r="141" spans="2:4">
      <c r="C141">
        <v>3</v>
      </c>
      <c r="D141">
        <v>8.3499051541551239E-3</v>
      </c>
    </row>
    <row r="142" spans="2:4">
      <c r="C142">
        <v>4</v>
      </c>
      <c r="D142">
        <v>3.5623436457825619E-3</v>
      </c>
    </row>
    <row r="143" spans="2:4">
      <c r="C143">
        <v>5</v>
      </c>
      <c r="D143">
        <v>-2.9367460979802473E-2</v>
      </c>
    </row>
    <row r="144" spans="2:4">
      <c r="C144">
        <v>6</v>
      </c>
      <c r="D144">
        <v>4.0658148386813586E-2</v>
      </c>
    </row>
    <row r="145" spans="3:7">
      <c r="C145">
        <v>7</v>
      </c>
      <c r="D145">
        <v>-1.459796173387673E-2</v>
      </c>
    </row>
    <row r="146" spans="3:7">
      <c r="C146">
        <v>8</v>
      </c>
      <c r="D146">
        <v>4.1620438136824589E-3</v>
      </c>
    </row>
    <row r="147" spans="3:7">
      <c r="C147">
        <v>9</v>
      </c>
      <c r="D147">
        <v>-1.2767018286766074E-2</v>
      </c>
    </row>
    <row r="148" spans="3:7">
      <c r="C148">
        <v>10</v>
      </c>
      <c r="D148">
        <v>8.3499051541569003E-3</v>
      </c>
    </row>
    <row r="149" spans="3:7">
      <c r="C149">
        <v>11</v>
      </c>
      <c r="D149">
        <v>3.5623436457843383E-3</v>
      </c>
    </row>
    <row r="150" spans="3:7">
      <c r="C150">
        <v>12</v>
      </c>
      <c r="D150">
        <v>-2.9367460979800697E-2</v>
      </c>
    </row>
    <row r="151" spans="3:7">
      <c r="C151">
        <v>13</v>
      </c>
      <c r="D151">
        <v>4.0658148386814474E-2</v>
      </c>
    </row>
    <row r="152" spans="3:7">
      <c r="C152">
        <v>14</v>
      </c>
      <c r="D152">
        <v>-1.4597961733874953E-2</v>
      </c>
    </row>
    <row r="153" spans="3:7">
      <c r="C153">
        <v>15</v>
      </c>
      <c r="D153">
        <v>4.1620438136833471E-3</v>
      </c>
    </row>
    <row r="154" spans="3:7">
      <c r="C154">
        <v>16</v>
      </c>
      <c r="D154">
        <v>-1.2767018286765186E-2</v>
      </c>
    </row>
    <row r="155" spans="3:7">
      <c r="C155">
        <v>17</v>
      </c>
      <c r="D155">
        <v>8.3499051541577884E-3</v>
      </c>
      <c r="G155" t="s">
        <v>67</v>
      </c>
    </row>
    <row r="156" spans="3:7">
      <c r="C156">
        <v>18</v>
      </c>
      <c r="D156">
        <v>3.5623436457852264E-3</v>
      </c>
    </row>
    <row r="157" spans="3:7">
      <c r="C157">
        <v>19</v>
      </c>
      <c r="D157">
        <v>-2.9367460979800697E-2</v>
      </c>
    </row>
    <row r="158" spans="3:7">
      <c r="C158">
        <v>20</v>
      </c>
      <c r="D158">
        <v>4.0658148386815363E-2</v>
      </c>
    </row>
    <row r="159" spans="3:7">
      <c r="C159">
        <v>21</v>
      </c>
      <c r="D159">
        <v>-1.4597961733874065E-2</v>
      </c>
    </row>
    <row r="160" spans="3:7">
      <c r="C160">
        <v>22</v>
      </c>
      <c r="D160">
        <v>4.1620438136833471E-3</v>
      </c>
    </row>
    <row r="161" spans="2:6">
      <c r="C161">
        <v>23</v>
      </c>
      <c r="D161">
        <v>-1.2767018286764298E-2</v>
      </c>
    </row>
    <row r="162" spans="2:6">
      <c r="C162">
        <v>24</v>
      </c>
      <c r="D162">
        <v>8.3499051541586766E-3</v>
      </c>
    </row>
    <row r="163" spans="2:6">
      <c r="C163">
        <v>25</v>
      </c>
      <c r="D163">
        <v>3.5623436457852264E-3</v>
      </c>
    </row>
    <row r="164" spans="2:6">
      <c r="C164">
        <v>26</v>
      </c>
      <c r="D164">
        <v>-2.9367460979799809E-2</v>
      </c>
    </row>
    <row r="165" spans="2:6">
      <c r="C165">
        <v>27</v>
      </c>
      <c r="D165">
        <v>4.0658148386816251E-2</v>
      </c>
    </row>
    <row r="166" spans="2:6">
      <c r="C166">
        <v>28</v>
      </c>
      <c r="D166">
        <v>-1.4597961733874065E-2</v>
      </c>
    </row>
    <row r="167" spans="2:6">
      <c r="B167" t="s">
        <v>68</v>
      </c>
      <c r="D167">
        <v>-1.0658141036401503E-14</v>
      </c>
    </row>
    <row r="168" spans="2:6">
      <c r="C168" t="s">
        <v>61</v>
      </c>
      <c r="D168" t="s">
        <v>69</v>
      </c>
      <c r="E168" t="s">
        <v>17</v>
      </c>
      <c r="F168" t="s">
        <v>60</v>
      </c>
    </row>
    <row r="169" spans="2:6">
      <c r="C169">
        <f>C139</f>
        <v>1</v>
      </c>
      <c r="D169">
        <f t="shared" ref="D169:D196" si="15">(C169-0.5)/n</f>
        <v>1.7857142857142856E-2</v>
      </c>
      <c r="E169">
        <f>4.91*(D169^0.14-(1-D169)^0.14)</f>
        <v>-2.1029298595768426</v>
      </c>
      <c r="F169">
        <v>-2.9367460979802473E-2</v>
      </c>
    </row>
    <row r="170" spans="2:6">
      <c r="C170">
        <f t="shared" ref="C170:C196" si="16">C140</f>
        <v>2</v>
      </c>
      <c r="D170">
        <f t="shared" si="15"/>
        <v>5.3571428571428568E-2</v>
      </c>
      <c r="E170">
        <f t="shared" ref="E170:E196" si="17">4.91*(D170^0.14-(1-D170)^0.14)</f>
        <v>-1.6129388152332291</v>
      </c>
      <c r="F170">
        <v>-2.9367460979800697E-2</v>
      </c>
    </row>
    <row r="171" spans="2:6">
      <c r="C171">
        <f t="shared" si="16"/>
        <v>3</v>
      </c>
      <c r="D171">
        <f t="shared" si="15"/>
        <v>8.9285714285714288E-2</v>
      </c>
      <c r="E171">
        <f t="shared" si="17"/>
        <v>-1.3451384553636758</v>
      </c>
      <c r="F171">
        <v>-2.9367460979800697E-2</v>
      </c>
    </row>
    <row r="172" spans="2:6">
      <c r="C172">
        <f t="shared" si="16"/>
        <v>4</v>
      </c>
      <c r="D172">
        <f t="shared" si="15"/>
        <v>0.125</v>
      </c>
      <c r="E172">
        <f t="shared" si="17"/>
        <v>-1.1492082681575793</v>
      </c>
      <c r="F172">
        <v>-2.9367460979799809E-2</v>
      </c>
    </row>
    <row r="173" spans="2:6">
      <c r="C173">
        <f t="shared" si="16"/>
        <v>5</v>
      </c>
      <c r="D173">
        <f t="shared" si="15"/>
        <v>0.16071428571428573</v>
      </c>
      <c r="E173">
        <f t="shared" si="17"/>
        <v>-0.9897562448052486</v>
      </c>
      <c r="F173">
        <v>-1.459796173387673E-2</v>
      </c>
    </row>
    <row r="174" spans="2:6">
      <c r="C174">
        <f t="shared" si="16"/>
        <v>6</v>
      </c>
      <c r="D174">
        <f t="shared" si="15"/>
        <v>0.19642857142857142</v>
      </c>
      <c r="E174">
        <f t="shared" si="17"/>
        <v>-0.85237061887558319</v>
      </c>
      <c r="F174">
        <v>-1.4597961733874953E-2</v>
      </c>
    </row>
    <row r="175" spans="2:6">
      <c r="C175">
        <f t="shared" si="16"/>
        <v>7</v>
      </c>
      <c r="D175">
        <f t="shared" si="15"/>
        <v>0.23214285714285715</v>
      </c>
      <c r="E175">
        <f t="shared" si="17"/>
        <v>-0.72964511959053457</v>
      </c>
      <c r="F175">
        <v>-1.4597961733874065E-2</v>
      </c>
    </row>
    <row r="176" spans="2:6">
      <c r="C176">
        <f t="shared" si="16"/>
        <v>8</v>
      </c>
      <c r="D176">
        <f t="shared" si="15"/>
        <v>0.26785714285714285</v>
      </c>
      <c r="E176">
        <f t="shared" si="17"/>
        <v>-0.61721223071782261</v>
      </c>
      <c r="F176">
        <v>-1.4597961733874065E-2</v>
      </c>
    </row>
    <row r="177" spans="3:6">
      <c r="C177">
        <f t="shared" si="16"/>
        <v>9</v>
      </c>
      <c r="D177">
        <f t="shared" si="15"/>
        <v>0.30357142857142855</v>
      </c>
      <c r="E177">
        <f t="shared" si="17"/>
        <v>-0.51224056203097013</v>
      </c>
      <c r="F177">
        <v>-1.2767018286766962E-2</v>
      </c>
    </row>
    <row r="178" spans="3:6">
      <c r="C178">
        <f t="shared" si="16"/>
        <v>10</v>
      </c>
      <c r="D178">
        <f t="shared" si="15"/>
        <v>0.3392857142857143</v>
      </c>
      <c r="E178">
        <f t="shared" si="17"/>
        <v>-0.4127566090253984</v>
      </c>
      <c r="F178">
        <v>-1.2767018286766074E-2</v>
      </c>
    </row>
    <row r="179" spans="3:6">
      <c r="C179">
        <f t="shared" si="16"/>
        <v>11</v>
      </c>
      <c r="D179">
        <f t="shared" si="15"/>
        <v>0.375</v>
      </c>
      <c r="E179">
        <f t="shared" si="17"/>
        <v>-0.31729887872592571</v>
      </c>
      <c r="F179">
        <v>-1.2767018286765186E-2</v>
      </c>
    </row>
    <row r="180" spans="3:6">
      <c r="C180">
        <f t="shared" si="16"/>
        <v>12</v>
      </c>
      <c r="D180">
        <f t="shared" si="15"/>
        <v>0.4107142857142857</v>
      </c>
      <c r="E180">
        <f t="shared" si="17"/>
        <v>-0.22472407885547394</v>
      </c>
      <c r="F180">
        <v>-1.2767018286764298E-2</v>
      </c>
    </row>
    <row r="181" spans="3:6">
      <c r="C181">
        <f t="shared" si="16"/>
        <v>13</v>
      </c>
      <c r="D181">
        <f t="shared" si="15"/>
        <v>0.44642857142857145</v>
      </c>
      <c r="E181">
        <f t="shared" si="17"/>
        <v>-0.13408929904188591</v>
      </c>
      <c r="F181">
        <v>-1.0658141036401503E-14</v>
      </c>
    </row>
    <row r="182" spans="3:6">
      <c r="C182">
        <f t="shared" si="16"/>
        <v>14</v>
      </c>
      <c r="D182">
        <f t="shared" si="15"/>
        <v>0.48214285714285715</v>
      </c>
      <c r="E182">
        <f t="shared" si="17"/>
        <v>-4.4574353601653953E-2</v>
      </c>
      <c r="F182">
        <v>3.5623436457825619E-3</v>
      </c>
    </row>
    <row r="183" spans="3:6">
      <c r="C183">
        <f t="shared" si="16"/>
        <v>15</v>
      </c>
      <c r="D183">
        <f t="shared" si="15"/>
        <v>0.5178571428571429</v>
      </c>
      <c r="E183">
        <f t="shared" si="17"/>
        <v>4.4574353601654494E-2</v>
      </c>
      <c r="F183">
        <v>3.5623436457843383E-3</v>
      </c>
    </row>
    <row r="184" spans="3:6">
      <c r="C184">
        <f t="shared" si="16"/>
        <v>16</v>
      </c>
      <c r="D184">
        <f t="shared" si="15"/>
        <v>0.5535714285714286</v>
      </c>
      <c r="E184">
        <f t="shared" si="17"/>
        <v>0.13408929904188646</v>
      </c>
      <c r="F184">
        <v>3.5623436457852264E-3</v>
      </c>
    </row>
    <row r="185" spans="3:6">
      <c r="C185">
        <f t="shared" si="16"/>
        <v>17</v>
      </c>
      <c r="D185">
        <f t="shared" si="15"/>
        <v>0.5892857142857143</v>
      </c>
      <c r="E185">
        <f t="shared" si="17"/>
        <v>0.22472407885547394</v>
      </c>
      <c r="F185">
        <v>3.5623436457852264E-3</v>
      </c>
    </row>
    <row r="186" spans="3:6">
      <c r="C186">
        <f t="shared" si="16"/>
        <v>18</v>
      </c>
      <c r="D186">
        <f t="shared" si="15"/>
        <v>0.625</v>
      </c>
      <c r="E186">
        <f t="shared" si="17"/>
        <v>0.31729887872592571</v>
      </c>
      <c r="F186">
        <v>4.1620438136806825E-3</v>
      </c>
    </row>
    <row r="187" spans="3:6">
      <c r="C187">
        <f t="shared" si="16"/>
        <v>19</v>
      </c>
      <c r="D187">
        <f t="shared" si="15"/>
        <v>0.6607142857142857</v>
      </c>
      <c r="E187">
        <f t="shared" si="17"/>
        <v>0.4127566090253984</v>
      </c>
      <c r="F187">
        <v>4.1620438136824589E-3</v>
      </c>
    </row>
    <row r="188" spans="3:6">
      <c r="C188">
        <f t="shared" si="16"/>
        <v>20</v>
      </c>
      <c r="D188">
        <f t="shared" si="15"/>
        <v>0.6964285714285714</v>
      </c>
      <c r="E188">
        <f t="shared" si="17"/>
        <v>0.51224056203096957</v>
      </c>
      <c r="F188">
        <v>4.1620438136833471E-3</v>
      </c>
    </row>
    <row r="189" spans="3:6">
      <c r="C189">
        <f t="shared" si="16"/>
        <v>21</v>
      </c>
      <c r="D189">
        <f t="shared" si="15"/>
        <v>0.7321428571428571</v>
      </c>
      <c r="E189">
        <f t="shared" si="17"/>
        <v>0.61721223071782261</v>
      </c>
      <c r="F189">
        <v>4.1620438136833471E-3</v>
      </c>
    </row>
    <row r="190" spans="3:6">
      <c r="C190">
        <f t="shared" si="16"/>
        <v>22</v>
      </c>
      <c r="D190">
        <f t="shared" si="15"/>
        <v>0.7678571428571429</v>
      </c>
      <c r="E190">
        <f t="shared" si="17"/>
        <v>0.72964511959053457</v>
      </c>
      <c r="F190">
        <v>8.3499051541551239E-3</v>
      </c>
    </row>
    <row r="191" spans="3:6">
      <c r="C191">
        <f>C161</f>
        <v>23</v>
      </c>
      <c r="D191">
        <f t="shared" si="15"/>
        <v>0.8035714285714286</v>
      </c>
      <c r="E191">
        <f>4.91*(D191^0.14-(1-D191)^0.14)</f>
        <v>0.85237061887558319</v>
      </c>
      <c r="F191">
        <v>8.3499051541569003E-3</v>
      </c>
    </row>
    <row r="192" spans="3:6">
      <c r="C192">
        <f t="shared" si="16"/>
        <v>24</v>
      </c>
      <c r="D192">
        <f t="shared" si="15"/>
        <v>0.8392857142857143</v>
      </c>
      <c r="E192">
        <f t="shared" si="17"/>
        <v>0.9897562448052486</v>
      </c>
      <c r="F192">
        <v>8.3499051541577884E-3</v>
      </c>
    </row>
    <row r="193" spans="3:6">
      <c r="C193">
        <f t="shared" si="16"/>
        <v>25</v>
      </c>
      <c r="D193">
        <f t="shared" si="15"/>
        <v>0.875</v>
      </c>
      <c r="E193">
        <f t="shared" si="17"/>
        <v>1.1492082681575793</v>
      </c>
      <c r="F193">
        <v>8.3499051541586766E-3</v>
      </c>
    </row>
    <row r="194" spans="3:6">
      <c r="C194">
        <f t="shared" si="16"/>
        <v>26</v>
      </c>
      <c r="D194">
        <f t="shared" si="15"/>
        <v>0.9107142857142857</v>
      </c>
      <c r="E194">
        <f t="shared" si="17"/>
        <v>1.3451384553636758</v>
      </c>
      <c r="F194">
        <v>4.0658148386813586E-2</v>
      </c>
    </row>
    <row r="195" spans="3:6">
      <c r="C195">
        <f>C165</f>
        <v>27</v>
      </c>
      <c r="D195">
        <f t="shared" si="15"/>
        <v>0.9464285714285714</v>
      </c>
      <c r="E195">
        <f>4.91*(D195^0.14-(1-D195)^0.14)</f>
        <v>1.6129388152332291</v>
      </c>
      <c r="F195">
        <v>4.0658148386814474E-2</v>
      </c>
    </row>
    <row r="196" spans="3:6">
      <c r="C196">
        <f t="shared" si="16"/>
        <v>28</v>
      </c>
      <c r="D196">
        <f t="shared" si="15"/>
        <v>0.9821428571428571</v>
      </c>
      <c r="E196">
        <f t="shared" si="17"/>
        <v>2.1029298595768422</v>
      </c>
      <c r="F196">
        <v>4.0658148386815363E-2</v>
      </c>
    </row>
    <row r="197" spans="3:6">
      <c r="F197">
        <v>4.0658148386816251E-2</v>
      </c>
    </row>
  </sheetData>
  <sortState ref="F169:F197">
    <sortCondition ref="F16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</vt:i4>
      </vt:variant>
    </vt:vector>
  </HeadingPairs>
  <TitlesOfParts>
    <vt:vector size="26" baseType="lpstr">
      <vt:lpstr>Sheet1</vt:lpstr>
      <vt:lpstr>Sheet2</vt:lpstr>
      <vt:lpstr>Sheet3</vt:lpstr>
      <vt:lpstr>b_0</vt:lpstr>
      <vt:lpstr>b_0_max</vt:lpstr>
      <vt:lpstr>b_0_min</vt:lpstr>
      <vt:lpstr>b_1</vt:lpstr>
      <vt:lpstr>b_1_max</vt:lpstr>
      <vt:lpstr>b_1_min</vt:lpstr>
      <vt:lpstr>m</vt:lpstr>
      <vt:lpstr>mean_x</vt:lpstr>
      <vt:lpstr>mean_y</vt:lpstr>
      <vt:lpstr>n</vt:lpstr>
      <vt:lpstr>s_b_0</vt:lpstr>
      <vt:lpstr>s_b_1</vt:lpstr>
      <vt:lpstr>s_e</vt:lpstr>
      <vt:lpstr>ss0</vt:lpstr>
      <vt:lpstr>sse</vt:lpstr>
      <vt:lpstr>ssr</vt:lpstr>
      <vt:lpstr>sst</vt:lpstr>
      <vt:lpstr>ssy</vt:lpstr>
      <vt:lpstr>sum_x_x</vt:lpstr>
      <vt:lpstr>sum_x_y</vt:lpstr>
      <vt:lpstr>sum_y_y</vt:lpstr>
      <vt:lpstr>t_95_6</vt:lpstr>
      <vt:lpstr>x_p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2009-02-12T04:38:31Z</dcterms:modified>
</cp:coreProperties>
</file>